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195" windowHeight="12120" activeTab="0"/>
  </bookViews>
  <sheets>
    <sheet name="Input &amp; Output" sheetId="1" r:id="rId1"/>
    <sheet name="Udskrift" sheetId="2" r:id="rId2"/>
    <sheet name="Laster" sheetId="3" r:id="rId3"/>
    <sheet name="Beregninger" sheetId="4" r:id="rId4"/>
  </sheets>
  <externalReferences>
    <externalReference r:id="rId7"/>
  </externalReferences>
  <definedNames>
    <definedName name="antal">'Laster'!$A$99:$A$100</definedName>
    <definedName name="antalt">'Laster'!#REF!</definedName>
    <definedName name="antaltrapez">'Laster'!$D$101:$D$117</definedName>
    <definedName name="bjælker">'Laster'!$A$110:$A$115</definedName>
    <definedName name="bk">'Laster'!$D$81:$D$85</definedName>
    <definedName name="brand">'Laster'!$D$82:$D$85</definedName>
    <definedName name="branddim">'Laster'!$D$81:$D$85</definedName>
    <definedName name="brandkrav">'Laster'!$D$82:$D$84</definedName>
    <definedName name="elementbredde">'Laster'!$A$107:$A$125</definedName>
    <definedName name="installationer">'Laster'!#REF!</definedName>
    <definedName name="kontrol">'[1]Laster'!$D$56:$D$58</definedName>
    <definedName name="kontrolkl">'Laster'!$D$105:$D$107</definedName>
    <definedName name="lastu">'Laster'!$L$14:$L$17</definedName>
    <definedName name="lastunderside">'Laster'!$M$14:$M$17</definedName>
    <definedName name="min">'Laster'!$D$100:$D$101</definedName>
    <definedName name="nedbøjning">'Laster'!$A$96:$A$96</definedName>
    <definedName name="over">'Laster'!$M$6:$M$8</definedName>
    <definedName name="overside">'Laster'!$K$6:$K$7</definedName>
    <definedName name="oversideelement">'Laster'!$M$6:$M$7</definedName>
    <definedName name="sikkerhedsklasse">'Laster'!$A$93:$A$95</definedName>
    <definedName name="skive">'Laster'!$A$105:$A$106</definedName>
    <definedName name="skivekraft">'Laster'!$A$104:$A$106</definedName>
    <definedName name="sne">'Laster'!$A$98:$A$100</definedName>
    <definedName name="spænd">'Laster'!$D$105:$D$106</definedName>
    <definedName name="spændretning">'Laster'!$D$105:$D$107</definedName>
    <definedName name="spændvidde">'Laster'!$D$111:$D$112</definedName>
    <definedName name="tag">'Laster'!$D$75:$D$77</definedName>
    <definedName name="terrænklasse">'Laster'!$A$75:$A$79</definedName>
    <definedName name="trapez">'Laster'!$D$94:$D$96</definedName>
    <definedName name="trapezplader">'Laster'!$D$94:$D$97</definedName>
    <definedName name="underside">'Laster'!$K$14:$K$16</definedName>
    <definedName name="undersideelement">'Laster'!$M$14:$M$16</definedName>
    <definedName name="understøtning">'Laster'!$D$89:$D$90</definedName>
    <definedName name="uværdi">'Laster'!$A$83:$A$89</definedName>
    <definedName name="valgover">'Laster'!$M$6:$M$9</definedName>
    <definedName name="valgunder">'Laster'!$M$14:$M$18</definedName>
  </definedNames>
  <calcPr fullCalcOnLoad="1"/>
</workbook>
</file>

<file path=xl/sharedStrings.xml><?xml version="1.0" encoding="utf-8"?>
<sst xmlns="http://schemas.openxmlformats.org/spreadsheetml/2006/main" count="683" uniqueCount="369">
  <si>
    <t>Input</t>
  </si>
  <si>
    <t>Spændvidde</t>
  </si>
  <si>
    <t>m</t>
  </si>
  <si>
    <t>Max u-værdi</t>
  </si>
  <si>
    <t>Max deformation</t>
  </si>
  <si>
    <t>mm/mm</t>
  </si>
  <si>
    <t>Bygningshøjde</t>
  </si>
  <si>
    <t>grader</t>
  </si>
  <si>
    <t>α</t>
  </si>
  <si>
    <t>Taghældning</t>
  </si>
  <si>
    <r>
      <t>kN/m</t>
    </r>
    <r>
      <rPr>
        <vertAlign val="superscript"/>
        <sz val="11"/>
        <rFont val="Times New Roman"/>
        <family val="1"/>
      </rPr>
      <t>2</t>
    </r>
  </si>
  <si>
    <r>
      <t>u</t>
    </r>
    <r>
      <rPr>
        <vertAlign val="subscript"/>
        <sz val="11"/>
        <rFont val="Times New Roman"/>
        <family val="1"/>
      </rPr>
      <t>max</t>
    </r>
  </si>
  <si>
    <t>Forudsætninger</t>
  </si>
  <si>
    <t>Beregninger</t>
  </si>
  <si>
    <t>Bjælke</t>
  </si>
  <si>
    <t>Brudmoment</t>
  </si>
  <si>
    <t>Forskydnings-</t>
  </si>
  <si>
    <t>Reaktions-</t>
  </si>
  <si>
    <t>Egenvægt</t>
  </si>
  <si>
    <t>kapacitet</t>
  </si>
  <si>
    <t xml:space="preserve"> </t>
  </si>
  <si>
    <t>[mm]</t>
  </si>
  <si>
    <t>[kN]</t>
  </si>
  <si>
    <t>[kN/m]</t>
  </si>
  <si>
    <t>type</t>
  </si>
  <si>
    <t>SD201</t>
  </si>
  <si>
    <t>SD202</t>
  </si>
  <si>
    <t>SD301</t>
  </si>
  <si>
    <t>SD302</t>
  </si>
  <si>
    <t>SD351</t>
  </si>
  <si>
    <t>SD352</t>
  </si>
  <si>
    <t>Tværsnits-</t>
  </si>
  <si>
    <t>arel</t>
  </si>
  <si>
    <t>[kNm]</t>
  </si>
  <si>
    <r>
      <t>M</t>
    </r>
    <r>
      <rPr>
        <vertAlign val="subscript"/>
        <sz val="11"/>
        <rFont val="Times New Roman"/>
        <family val="1"/>
      </rPr>
      <t>R</t>
    </r>
  </si>
  <si>
    <r>
      <t>V</t>
    </r>
    <r>
      <rPr>
        <vertAlign val="subscript"/>
        <sz val="11"/>
        <rFont val="Times New Roman"/>
        <family val="1"/>
      </rPr>
      <t>R</t>
    </r>
  </si>
  <si>
    <r>
      <t>g</t>
    </r>
    <r>
      <rPr>
        <vertAlign val="subscript"/>
        <sz val="11"/>
        <rFont val="Times New Roman"/>
        <family val="1"/>
      </rPr>
      <t>b</t>
    </r>
  </si>
  <si>
    <t>A</t>
  </si>
  <si>
    <t>I</t>
  </si>
  <si>
    <r>
      <t>[mm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]</t>
    </r>
  </si>
  <si>
    <t>Tværsnits- og styrkeparametre</t>
  </si>
  <si>
    <t>Moment</t>
  </si>
  <si>
    <t>Nedbøjning</t>
  </si>
  <si>
    <t>Karakteristisk last</t>
  </si>
  <si>
    <t>Regningsmæssig last</t>
  </si>
  <si>
    <t>Elasticitetsmodul</t>
  </si>
  <si>
    <t>E</t>
  </si>
  <si>
    <t>Partialkoefficient</t>
  </si>
  <si>
    <t>-</t>
  </si>
  <si>
    <t>MPa</t>
  </si>
  <si>
    <t xml:space="preserve">Snelast </t>
  </si>
  <si>
    <t>Vindlast</t>
  </si>
  <si>
    <t>S</t>
  </si>
  <si>
    <t>Ophæng</t>
  </si>
  <si>
    <t>Rumvægt for stål</t>
  </si>
  <si>
    <t>ρ</t>
  </si>
  <si>
    <r>
      <t>kg/m</t>
    </r>
    <r>
      <rPr>
        <vertAlign val="superscript"/>
        <sz val="11"/>
        <rFont val="Times New Roman"/>
        <family val="1"/>
      </rPr>
      <t>3</t>
    </r>
  </si>
  <si>
    <t>[-]</t>
  </si>
  <si>
    <t>Element</t>
  </si>
  <si>
    <r>
      <t>[kg/m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]</t>
    </r>
  </si>
  <si>
    <t>Pilhøjde</t>
  </si>
  <si>
    <t>u</t>
  </si>
  <si>
    <t xml:space="preserve">L/u </t>
  </si>
  <si>
    <t>[mm/mm]</t>
  </si>
  <si>
    <t>Output</t>
  </si>
  <si>
    <r>
      <t>W/m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·K</t>
    </r>
  </si>
  <si>
    <t>L/u</t>
  </si>
  <si>
    <r>
      <t>I</t>
    </r>
    <r>
      <rPr>
        <vertAlign val="subscript"/>
        <sz val="11"/>
        <rFont val="Times New Roman"/>
        <family val="1"/>
      </rPr>
      <t>t</t>
    </r>
  </si>
  <si>
    <t>Snelast</t>
  </si>
  <si>
    <t>Karakteristisk terrænværdi</t>
  </si>
  <si>
    <t>Årstidsfaktor</t>
  </si>
  <si>
    <t>På den sikre side lig 1</t>
  </si>
  <si>
    <t>Terrænværdi</t>
  </si>
  <si>
    <t>Beliggenhedsfaktor</t>
  </si>
  <si>
    <t>Termisk faktor</t>
  </si>
  <si>
    <t xml:space="preserve">Formfaktor </t>
  </si>
  <si>
    <r>
      <t>c</t>
    </r>
    <r>
      <rPr>
        <vertAlign val="subscript"/>
        <sz val="11"/>
        <rFont val="Times New Roman"/>
        <family val="1"/>
      </rPr>
      <t>års</t>
    </r>
  </si>
  <si>
    <r>
      <t>s</t>
    </r>
    <r>
      <rPr>
        <vertAlign val="subscript"/>
        <sz val="11"/>
        <rFont val="Times New Roman"/>
        <family val="1"/>
      </rPr>
      <t>k,0</t>
    </r>
  </si>
  <si>
    <r>
      <t>C</t>
    </r>
    <r>
      <rPr>
        <vertAlign val="subscript"/>
        <sz val="11"/>
        <rFont val="Times New Roman"/>
        <family val="1"/>
      </rPr>
      <t>e</t>
    </r>
  </si>
  <si>
    <r>
      <t>C</t>
    </r>
    <r>
      <rPr>
        <vertAlign val="subscript"/>
        <sz val="11"/>
        <rFont val="Times New Roman"/>
        <family val="1"/>
      </rPr>
      <t>t</t>
    </r>
  </si>
  <si>
    <r>
      <t>c</t>
    </r>
    <r>
      <rPr>
        <vertAlign val="subscript"/>
        <sz val="11"/>
        <rFont val="Times New Roman"/>
        <family val="1"/>
      </rPr>
      <t>1</t>
    </r>
  </si>
  <si>
    <t>Basisvindhastighed</t>
  </si>
  <si>
    <t>m/s</t>
  </si>
  <si>
    <t>Retningsfaktor</t>
  </si>
  <si>
    <t>På den sikre side 1</t>
  </si>
  <si>
    <t>For perm. konstruktioner 1</t>
  </si>
  <si>
    <t xml:space="preserve">Grundværdi </t>
  </si>
  <si>
    <t>27 for vestkysten ellers 24</t>
  </si>
  <si>
    <t>Basishastighedstryk</t>
  </si>
  <si>
    <t>Referenzehøjde</t>
  </si>
  <si>
    <t xml:space="preserve">z </t>
  </si>
  <si>
    <t>Terrænkategori</t>
  </si>
  <si>
    <t>Terrænfaktor</t>
  </si>
  <si>
    <t>Ruhedslængde</t>
  </si>
  <si>
    <t>Minimumshøjde</t>
  </si>
  <si>
    <t>Ruhedsfaktor</t>
  </si>
  <si>
    <t>Middelhastighedstryk</t>
  </si>
  <si>
    <t>Turbulensintensitet</t>
  </si>
  <si>
    <t>Maksimalt hastighedstryk</t>
  </si>
  <si>
    <r>
      <t>v</t>
    </r>
    <r>
      <rPr>
        <vertAlign val="subscript"/>
        <sz val="11"/>
        <rFont val="Times New Roman"/>
        <family val="1"/>
      </rPr>
      <t>b</t>
    </r>
    <r>
      <rPr>
        <sz val="11"/>
        <rFont val="Times New Roman"/>
        <family val="1"/>
      </rPr>
      <t xml:space="preserve"> = c</t>
    </r>
    <r>
      <rPr>
        <vertAlign val="subscript"/>
        <sz val="11"/>
        <rFont val="Times New Roman"/>
        <family val="1"/>
      </rPr>
      <t>dir</t>
    </r>
    <r>
      <rPr>
        <sz val="11"/>
        <rFont val="Times New Roman"/>
        <family val="1"/>
      </rPr>
      <t>*c</t>
    </r>
    <r>
      <rPr>
        <vertAlign val="subscript"/>
        <sz val="11"/>
        <rFont val="Times New Roman"/>
        <family val="1"/>
      </rPr>
      <t>års</t>
    </r>
    <r>
      <rPr>
        <sz val="11"/>
        <rFont val="Times New Roman"/>
        <family val="1"/>
      </rPr>
      <t>*v</t>
    </r>
    <r>
      <rPr>
        <vertAlign val="subscript"/>
        <sz val="11"/>
        <rFont val="Times New Roman"/>
        <family val="1"/>
      </rPr>
      <t>b,0</t>
    </r>
  </si>
  <si>
    <r>
      <t>c</t>
    </r>
    <r>
      <rPr>
        <vertAlign val="subscript"/>
        <sz val="11"/>
        <rFont val="Times New Roman"/>
        <family val="1"/>
      </rPr>
      <t>dir</t>
    </r>
  </si>
  <si>
    <r>
      <t>v</t>
    </r>
    <r>
      <rPr>
        <vertAlign val="subscript"/>
        <sz val="11"/>
        <rFont val="Times New Roman"/>
        <family val="1"/>
      </rPr>
      <t>b,0</t>
    </r>
  </si>
  <si>
    <r>
      <t>q</t>
    </r>
    <r>
      <rPr>
        <vertAlign val="subscript"/>
        <sz val="11"/>
        <rFont val="Times New Roman"/>
        <family val="1"/>
      </rPr>
      <t>b</t>
    </r>
    <r>
      <rPr>
        <sz val="11"/>
        <rFont val="Times New Roman"/>
        <family val="1"/>
      </rPr>
      <t xml:space="preserve"> = 0,5*ρ*v</t>
    </r>
    <r>
      <rPr>
        <vertAlign val="superscript"/>
        <sz val="11"/>
        <rFont val="Times New Roman"/>
        <family val="1"/>
      </rPr>
      <t>2</t>
    </r>
    <r>
      <rPr>
        <vertAlign val="subscript"/>
        <sz val="11"/>
        <rFont val="Times New Roman"/>
        <family val="1"/>
      </rPr>
      <t>b</t>
    </r>
  </si>
  <si>
    <r>
      <t>N/m</t>
    </r>
    <r>
      <rPr>
        <vertAlign val="superscript"/>
        <sz val="11"/>
        <rFont val="Times New Roman"/>
        <family val="1"/>
      </rPr>
      <t>2</t>
    </r>
  </si>
  <si>
    <r>
      <t>z</t>
    </r>
    <r>
      <rPr>
        <vertAlign val="subscript"/>
        <sz val="11"/>
        <rFont val="Times New Roman"/>
        <family val="1"/>
      </rPr>
      <t>0</t>
    </r>
  </si>
  <si>
    <r>
      <t>z</t>
    </r>
    <r>
      <rPr>
        <vertAlign val="subscript"/>
        <sz val="11"/>
        <rFont val="Times New Roman"/>
        <family val="1"/>
      </rPr>
      <t>min</t>
    </r>
  </si>
  <si>
    <r>
      <t>q</t>
    </r>
    <r>
      <rPr>
        <vertAlign val="subscript"/>
        <sz val="11"/>
        <rFont val="Times New Roman"/>
        <family val="1"/>
      </rPr>
      <t>m</t>
    </r>
    <r>
      <rPr>
        <sz val="11"/>
        <rFont val="Times New Roman"/>
        <family val="1"/>
      </rPr>
      <t xml:space="preserve"> = c</t>
    </r>
    <r>
      <rPr>
        <vertAlign val="superscript"/>
        <sz val="11"/>
        <rFont val="Times New Roman"/>
        <family val="1"/>
      </rPr>
      <t>2</t>
    </r>
    <r>
      <rPr>
        <vertAlign val="subscript"/>
        <sz val="11"/>
        <rFont val="Times New Roman"/>
        <family val="1"/>
      </rPr>
      <t>r</t>
    </r>
    <r>
      <rPr>
        <sz val="11"/>
        <rFont val="Times New Roman"/>
        <family val="1"/>
      </rPr>
      <t>*q</t>
    </r>
    <r>
      <rPr>
        <vertAlign val="subscript"/>
        <sz val="11"/>
        <rFont val="Times New Roman"/>
        <family val="1"/>
      </rPr>
      <t>b</t>
    </r>
  </si>
  <si>
    <r>
      <t>I</t>
    </r>
    <r>
      <rPr>
        <vertAlign val="subscript"/>
        <sz val="11"/>
        <rFont val="Times New Roman"/>
        <family val="1"/>
      </rPr>
      <t>v</t>
    </r>
    <r>
      <rPr>
        <sz val="11"/>
        <rFont val="Times New Roman"/>
        <family val="1"/>
      </rPr>
      <t xml:space="preserve"> = 1/ln(z/z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>)</t>
    </r>
  </si>
  <si>
    <r>
      <t>q</t>
    </r>
    <r>
      <rPr>
        <vertAlign val="subscript"/>
        <sz val="11"/>
        <rFont val="Times New Roman"/>
        <family val="1"/>
      </rPr>
      <t>max</t>
    </r>
    <r>
      <rPr>
        <sz val="11"/>
        <rFont val="Times New Roman"/>
        <family val="1"/>
      </rPr>
      <t xml:space="preserve"> = (1+7*I</t>
    </r>
    <r>
      <rPr>
        <vertAlign val="subscript"/>
        <sz val="11"/>
        <rFont val="Times New Roman"/>
        <family val="1"/>
      </rPr>
      <t>v</t>
    </r>
    <r>
      <rPr>
        <sz val="11"/>
        <rFont val="Times New Roman"/>
        <family val="1"/>
      </rPr>
      <t>)*q</t>
    </r>
    <r>
      <rPr>
        <vertAlign val="subscript"/>
        <sz val="11"/>
        <rFont val="Times New Roman"/>
        <family val="1"/>
      </rPr>
      <t>m</t>
    </r>
  </si>
  <si>
    <t>Formfaktorer tag</t>
  </si>
  <si>
    <t>H</t>
  </si>
  <si>
    <t>Max</t>
  </si>
  <si>
    <t>Min</t>
  </si>
  <si>
    <t>Fladt tag</t>
  </si>
  <si>
    <t>Sadeltag</t>
  </si>
  <si>
    <t>Indvendige formfaktorer</t>
  </si>
  <si>
    <t>Overtryk</t>
  </si>
  <si>
    <t>Undertryk</t>
  </si>
  <si>
    <t>Vindlast ved tryk</t>
  </si>
  <si>
    <t>Vindlast ved sug</t>
  </si>
  <si>
    <r>
      <t>[mm</t>
    </r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>]</t>
    </r>
  </si>
  <si>
    <r>
      <t>s</t>
    </r>
    <r>
      <rPr>
        <vertAlign val="subscript"/>
        <sz val="11"/>
        <rFont val="Times New Roman"/>
        <family val="1"/>
      </rPr>
      <t>k</t>
    </r>
    <r>
      <rPr>
        <sz val="11"/>
        <rFont val="Times New Roman"/>
        <family val="1"/>
      </rPr>
      <t xml:space="preserve"> = c</t>
    </r>
    <r>
      <rPr>
        <vertAlign val="subscript"/>
        <sz val="11"/>
        <rFont val="Times New Roman"/>
        <family val="1"/>
      </rPr>
      <t>års</t>
    </r>
    <r>
      <rPr>
        <sz val="11"/>
        <rFont val="Times New Roman"/>
        <family val="1"/>
      </rPr>
      <t>*s</t>
    </r>
    <r>
      <rPr>
        <vertAlign val="subscript"/>
        <sz val="11"/>
        <rFont val="Times New Roman"/>
        <family val="1"/>
      </rPr>
      <t>k,0</t>
    </r>
  </si>
  <si>
    <t>Egenlast</t>
  </si>
  <si>
    <t xml:space="preserve">Egenlast </t>
  </si>
  <si>
    <r>
      <t>V</t>
    </r>
    <r>
      <rPr>
        <vertAlign val="subscript"/>
        <sz val="11"/>
        <rFont val="Times New Roman"/>
        <family val="1"/>
      </rPr>
      <t>t</t>
    </r>
  </si>
  <si>
    <r>
      <t>V</t>
    </r>
    <r>
      <rPr>
        <vertAlign val="subscript"/>
        <sz val="11"/>
        <rFont val="Times New Roman"/>
        <family val="1"/>
      </rPr>
      <t>s</t>
    </r>
  </si>
  <si>
    <t>Valg af</t>
  </si>
  <si>
    <t>bjælketype</t>
  </si>
  <si>
    <t>Bjælketypen overholder ikke alle krav</t>
  </si>
  <si>
    <t>Bjælketypen overholder alle krav, men er ikke den mest økonomiske</t>
  </si>
  <si>
    <t>Angiver at et input er krævet</t>
  </si>
  <si>
    <t>Landskab</t>
  </si>
  <si>
    <t>Terrænklasser</t>
  </si>
  <si>
    <t>Pilhøjde efter</t>
  </si>
  <si>
    <t>tilbageslag</t>
  </si>
  <si>
    <t>Dimensionsgivende</t>
  </si>
  <si>
    <t>krav</t>
  </si>
  <si>
    <t>Brandkrav</t>
  </si>
  <si>
    <t>BS30</t>
  </si>
  <si>
    <t>BS60</t>
  </si>
  <si>
    <t>Parameter</t>
  </si>
  <si>
    <t>Værdi</t>
  </si>
  <si>
    <t>Nedbøjningskrav</t>
  </si>
  <si>
    <t>Intet krav</t>
  </si>
  <si>
    <t>U-værdi</t>
  </si>
  <si>
    <t>mm</t>
  </si>
  <si>
    <t>k</t>
  </si>
  <si>
    <t>Krav til u-værdi</t>
  </si>
  <si>
    <t>Trapezplade</t>
  </si>
  <si>
    <t>Pulttag</t>
  </si>
  <si>
    <t>Tagtype</t>
  </si>
  <si>
    <t>Evt. sneophobning</t>
  </si>
  <si>
    <t>Sneophobning</t>
  </si>
  <si>
    <t>G</t>
  </si>
  <si>
    <r>
      <t>S</t>
    </r>
    <r>
      <rPr>
        <vertAlign val="subscript"/>
        <sz val="11"/>
        <rFont val="Times New Roman"/>
        <family val="1"/>
      </rPr>
      <t>o</t>
    </r>
  </si>
  <si>
    <t>Tillæg til den normale snelast*</t>
  </si>
  <si>
    <t xml:space="preserve">derimod spænder parallelt med længden af snedriven, beregnes den maksimale reaktion og </t>
  </si>
  <si>
    <t>det maksimale moment. Heraf kan der findes en ækvivlaent fladelast. Denne metode</t>
  </si>
  <si>
    <t>Understøtningsforhold</t>
  </si>
  <si>
    <t>Mellemunderstøttet</t>
  </si>
  <si>
    <t>Simpelt understøttet</t>
  </si>
  <si>
    <t>Understøtning</t>
  </si>
  <si>
    <t>Opadrettet last</t>
  </si>
  <si>
    <t>Nedadrettet last</t>
  </si>
  <si>
    <t>Opadrettet</t>
  </si>
  <si>
    <t>Nedadrettet</t>
  </si>
  <si>
    <t>[m]</t>
  </si>
  <si>
    <r>
      <t>[kN/m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]</t>
    </r>
  </si>
  <si>
    <t>Trapezplade HV18</t>
  </si>
  <si>
    <t>Antal trapezplader</t>
  </si>
  <si>
    <t>stk</t>
  </si>
  <si>
    <t>Fladelast installationer</t>
  </si>
  <si>
    <t>Areal</t>
  </si>
  <si>
    <t>Trug</t>
  </si>
  <si>
    <r>
      <t>A</t>
    </r>
    <r>
      <rPr>
        <vertAlign val="subscript"/>
        <sz val="11"/>
        <rFont val="Times New Roman"/>
        <family val="1"/>
      </rPr>
      <t>t</t>
    </r>
  </si>
  <si>
    <t>Inertimo-</t>
  </si>
  <si>
    <t>ment brutto</t>
  </si>
  <si>
    <t>ment trug</t>
  </si>
  <si>
    <t>ment</t>
  </si>
  <si>
    <r>
      <t>I</t>
    </r>
    <r>
      <rPr>
        <vertAlign val="subscript"/>
        <sz val="11"/>
        <rFont val="Times New Roman"/>
        <family val="1"/>
      </rPr>
      <t>b</t>
    </r>
  </si>
  <si>
    <t>350 mm isolering</t>
  </si>
  <si>
    <t>Dampspærre</t>
  </si>
  <si>
    <t>I alt</t>
  </si>
  <si>
    <t>Egenlast overside</t>
  </si>
  <si>
    <t>Nr.</t>
  </si>
  <si>
    <t>Betegnelse</t>
  </si>
  <si>
    <t>Last</t>
  </si>
  <si>
    <t>Overside</t>
  </si>
  <si>
    <t>Underside</t>
  </si>
  <si>
    <t>Egenlast underside</t>
  </si>
  <si>
    <t>Egenlast element</t>
  </si>
  <si>
    <t>Type af overside</t>
  </si>
  <si>
    <t>Type af underside</t>
  </si>
  <si>
    <t>200-350 mm isolering</t>
  </si>
  <si>
    <t>EN 1990/Eurocode 0 - Sikkerhed</t>
  </si>
  <si>
    <t>EN 1991/Eurocode 1 - Laster</t>
  </si>
  <si>
    <t>EN 1993/Eurocode 3 - Stålkonstruktioner</t>
  </si>
  <si>
    <t>Vejledende deformationskrav til tagkonstruktioner er i hht. EN 1990 L/200</t>
  </si>
  <si>
    <t>Konsekvensklasse</t>
  </si>
  <si>
    <t>Lav (1)</t>
  </si>
  <si>
    <t>Middel (2)</t>
  </si>
  <si>
    <t>Høj (3)</t>
  </si>
  <si>
    <r>
      <t>S = max(c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,c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)*C</t>
    </r>
    <r>
      <rPr>
        <vertAlign val="subscript"/>
        <sz val="11"/>
        <rFont val="Times New Roman"/>
        <family val="1"/>
      </rPr>
      <t>e</t>
    </r>
    <r>
      <rPr>
        <sz val="11"/>
        <rFont val="Times New Roman"/>
        <family val="1"/>
      </rPr>
      <t>*C</t>
    </r>
    <r>
      <rPr>
        <vertAlign val="subscript"/>
        <sz val="11"/>
        <rFont val="Times New Roman"/>
        <family val="1"/>
      </rPr>
      <t>t</t>
    </r>
    <r>
      <rPr>
        <sz val="11"/>
        <rFont val="Times New Roman"/>
        <family val="1"/>
      </rPr>
      <t>*s</t>
    </r>
    <r>
      <rPr>
        <vertAlign val="subscript"/>
        <sz val="11"/>
        <rFont val="Times New Roman"/>
        <family val="1"/>
      </rPr>
      <t>k</t>
    </r>
  </si>
  <si>
    <r>
      <t>γ</t>
    </r>
    <r>
      <rPr>
        <vertAlign val="subscript"/>
        <sz val="11"/>
        <rFont val="Times New Roman"/>
        <family val="1"/>
      </rPr>
      <t>3</t>
    </r>
  </si>
  <si>
    <r>
      <t>R</t>
    </r>
    <r>
      <rPr>
        <vertAlign val="subscript"/>
        <sz val="11"/>
        <rFont val="Times New Roman"/>
        <family val="1"/>
      </rPr>
      <t>R,ende</t>
    </r>
  </si>
  <si>
    <r>
      <t>R</t>
    </r>
    <r>
      <rPr>
        <vertAlign val="subscript"/>
        <sz val="11"/>
        <rFont val="Times New Roman"/>
        <family val="1"/>
      </rPr>
      <t>R,mellem</t>
    </r>
  </si>
  <si>
    <t>Styrkeparametre ved brand</t>
  </si>
  <si>
    <r>
      <t>M</t>
    </r>
    <r>
      <rPr>
        <vertAlign val="subscript"/>
        <sz val="11"/>
        <rFont val="Times New Roman"/>
        <family val="1"/>
      </rPr>
      <t>R,b</t>
    </r>
  </si>
  <si>
    <r>
      <t>R</t>
    </r>
    <r>
      <rPr>
        <vertAlign val="subscript"/>
        <sz val="11"/>
        <rFont val="Times New Roman"/>
        <family val="1"/>
      </rPr>
      <t>R,b,ende</t>
    </r>
  </si>
  <si>
    <r>
      <t>R</t>
    </r>
    <r>
      <rPr>
        <vertAlign val="subscript"/>
        <sz val="11"/>
        <rFont val="Times New Roman"/>
        <family val="1"/>
      </rPr>
      <t>R,b,mellem</t>
    </r>
  </si>
  <si>
    <t>Reaktion ende</t>
  </si>
  <si>
    <t>Reaktion midt</t>
  </si>
  <si>
    <t>Brand</t>
  </si>
  <si>
    <r>
      <t>G</t>
    </r>
    <r>
      <rPr>
        <vertAlign val="subscript"/>
        <sz val="11"/>
        <rFont val="Times New Roman"/>
        <family val="1"/>
      </rPr>
      <t>op</t>
    </r>
  </si>
  <si>
    <r>
      <t>k</t>
    </r>
    <r>
      <rPr>
        <vertAlign val="subscript"/>
        <sz val="11"/>
        <rFont val="Times New Roman"/>
        <family val="1"/>
      </rPr>
      <t>r</t>
    </r>
  </si>
  <si>
    <r>
      <t>c</t>
    </r>
    <r>
      <rPr>
        <vertAlign val="subscript"/>
        <sz val="11"/>
        <rFont val="Times New Roman"/>
        <family val="1"/>
      </rPr>
      <t>r</t>
    </r>
    <r>
      <rPr>
        <sz val="11"/>
        <rFont val="Times New Roman"/>
        <family val="1"/>
      </rPr>
      <t xml:space="preserve"> = k</t>
    </r>
    <r>
      <rPr>
        <vertAlign val="subscript"/>
        <sz val="11"/>
        <rFont val="Times New Roman"/>
        <family val="1"/>
      </rPr>
      <t>r</t>
    </r>
    <r>
      <rPr>
        <sz val="11"/>
        <rFont val="Times New Roman"/>
        <family val="1"/>
      </rPr>
      <t>*ln(z/z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>)</t>
    </r>
  </si>
  <si>
    <t>Skiveforskydningskraft</t>
  </si>
  <si>
    <t>kN/m</t>
  </si>
  <si>
    <t>Middel</t>
  </si>
  <si>
    <t>Clinch-</t>
  </si>
  <si>
    <t>afstand</t>
  </si>
  <si>
    <t>Mest økonomisk bjælketype i hht. stålforbrug, som overholder alle krav</t>
  </si>
  <si>
    <t>Laster</t>
  </si>
  <si>
    <t>Vindlast, tryk</t>
  </si>
  <si>
    <t>Vindlast, sug</t>
  </si>
  <si>
    <t>Bjælketype</t>
  </si>
  <si>
    <t>Indvendigt overtryk</t>
  </si>
  <si>
    <t>Indvendigt undertryk</t>
  </si>
  <si>
    <t>Ekskl. SkanDekbjælker</t>
  </si>
  <si>
    <t>Øvrige laster</t>
  </si>
  <si>
    <t>SkanDekelement</t>
  </si>
  <si>
    <t>Nødvendig</t>
  </si>
  <si>
    <t>last</t>
  </si>
  <si>
    <r>
      <t>[kN/m</t>
    </r>
    <r>
      <rPr>
        <sz val="11"/>
        <rFont val="Times New Roman"/>
        <family val="1"/>
      </rPr>
      <t>]</t>
    </r>
  </si>
  <si>
    <t>Clinhsamling</t>
  </si>
  <si>
    <t>Fu</t>
  </si>
  <si>
    <t>Fud</t>
  </si>
  <si>
    <t>Godstykkelse</t>
  </si>
  <si>
    <t>For flydning</t>
  </si>
  <si>
    <r>
      <t>γ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= 1,10*γ</t>
    </r>
    <r>
      <rPr>
        <vertAlign val="subscript"/>
        <sz val="11"/>
        <rFont val="Times New Roman"/>
        <family val="1"/>
      </rPr>
      <t>3</t>
    </r>
  </si>
  <si>
    <t>For brud</t>
  </si>
  <si>
    <t>Minimumspilhøjde</t>
  </si>
  <si>
    <t>Ja</t>
  </si>
  <si>
    <t>Nej</t>
  </si>
  <si>
    <t>For konsekvensklasse</t>
  </si>
  <si>
    <t>Faktisk spændvidde</t>
  </si>
  <si>
    <t>Ekskl. SkanDek bjælker</t>
  </si>
  <si>
    <t>Samlet egenlast</t>
  </si>
  <si>
    <t>Reaktionskapacitet</t>
  </si>
  <si>
    <t>Materialekontrolklasse</t>
  </si>
  <si>
    <t>Normal</t>
  </si>
  <si>
    <t>Skærpet</t>
  </si>
  <si>
    <t>Lempet</t>
  </si>
  <si>
    <r>
      <t>K</t>
    </r>
    <r>
      <rPr>
        <vertAlign val="subscript"/>
        <sz val="11"/>
        <rFont val="Times New Roman"/>
        <family val="1"/>
      </rPr>
      <t>FI</t>
    </r>
  </si>
  <si>
    <t>For materialekontrolklasse</t>
  </si>
  <si>
    <t>Brud, sne dominerende</t>
  </si>
  <si>
    <t>Brud, vind dominerende</t>
  </si>
  <si>
    <r>
      <t>q</t>
    </r>
    <r>
      <rPr>
        <vertAlign val="subscript"/>
        <sz val="11"/>
        <rFont val="Times New Roman"/>
        <family val="1"/>
      </rPr>
      <t>d,s</t>
    </r>
    <r>
      <rPr>
        <sz val="11"/>
        <rFont val="Times New Roman"/>
        <family val="1"/>
      </rPr>
      <t xml:space="preserve"> = K</t>
    </r>
    <r>
      <rPr>
        <vertAlign val="subscript"/>
        <sz val="11"/>
        <rFont val="Times New Roman"/>
        <family val="1"/>
      </rPr>
      <t>FI</t>
    </r>
    <r>
      <rPr>
        <sz val="11"/>
        <rFont val="Times New Roman"/>
        <family val="1"/>
      </rPr>
      <t>*(1,5*S+0,45*V</t>
    </r>
    <r>
      <rPr>
        <vertAlign val="subscript"/>
        <sz val="11"/>
        <rFont val="Times New Roman"/>
        <family val="1"/>
      </rPr>
      <t>t</t>
    </r>
    <r>
      <rPr>
        <sz val="11"/>
        <rFont val="Times New Roman"/>
        <family val="1"/>
      </rPr>
      <t>+G+G</t>
    </r>
    <r>
      <rPr>
        <vertAlign val="subscript"/>
        <sz val="11"/>
        <rFont val="Times New Roman"/>
        <family val="1"/>
      </rPr>
      <t>op</t>
    </r>
    <r>
      <rPr>
        <sz val="11"/>
        <rFont val="Times New Roman"/>
        <family val="1"/>
      </rPr>
      <t>)</t>
    </r>
  </si>
  <si>
    <t>Ved montage</t>
  </si>
  <si>
    <r>
      <t>γ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= 1,35*γ</t>
    </r>
    <r>
      <rPr>
        <vertAlign val="subscript"/>
        <sz val="11"/>
        <rFont val="Times New Roman"/>
        <family val="1"/>
      </rPr>
      <t>3</t>
    </r>
  </si>
  <si>
    <t>V</t>
  </si>
  <si>
    <t>Total længde</t>
  </si>
  <si>
    <r>
      <t>L</t>
    </r>
    <r>
      <rPr>
        <vertAlign val="subscript"/>
        <sz val="11"/>
        <rFont val="Times New Roman"/>
        <family val="1"/>
      </rPr>
      <t>t</t>
    </r>
  </si>
  <si>
    <r>
      <t>0,10 kN/m</t>
    </r>
    <r>
      <rPr>
        <vertAlign val="superscript"/>
        <sz val="11"/>
        <rFont val="Times New Roman"/>
        <family val="1"/>
      </rPr>
      <t>2</t>
    </r>
  </si>
  <si>
    <r>
      <t>0 kN/m</t>
    </r>
    <r>
      <rPr>
        <vertAlign val="superscript"/>
        <sz val="11"/>
        <rFont val="Times New Roman"/>
        <family val="1"/>
      </rPr>
      <t>2</t>
    </r>
  </si>
  <si>
    <t>200 mm/mm</t>
  </si>
  <si>
    <r>
      <t>0,3 W/m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·K</t>
    </r>
  </si>
  <si>
    <t>Brud, opadrettet vind dominerende</t>
  </si>
  <si>
    <r>
      <t>q</t>
    </r>
    <r>
      <rPr>
        <vertAlign val="subscript"/>
        <sz val="11"/>
        <rFont val="Times New Roman"/>
        <family val="1"/>
      </rPr>
      <t>d,vt</t>
    </r>
    <r>
      <rPr>
        <sz val="11"/>
        <rFont val="Times New Roman"/>
        <family val="1"/>
      </rPr>
      <t xml:space="preserve"> = K</t>
    </r>
    <r>
      <rPr>
        <vertAlign val="subscript"/>
        <sz val="11"/>
        <rFont val="Times New Roman"/>
        <family val="1"/>
      </rPr>
      <t>FI</t>
    </r>
    <r>
      <rPr>
        <sz val="11"/>
        <rFont val="Times New Roman"/>
        <family val="1"/>
      </rPr>
      <t>*(1,5*V</t>
    </r>
    <r>
      <rPr>
        <vertAlign val="subscript"/>
        <sz val="11"/>
        <rFont val="Times New Roman"/>
        <family val="1"/>
      </rPr>
      <t>t</t>
    </r>
    <r>
      <rPr>
        <sz val="11"/>
        <rFont val="Times New Roman"/>
        <family val="1"/>
      </rPr>
      <t>+G+G</t>
    </r>
    <r>
      <rPr>
        <vertAlign val="subscript"/>
        <sz val="11"/>
        <rFont val="Times New Roman"/>
        <family val="1"/>
      </rPr>
      <t>op</t>
    </r>
    <r>
      <rPr>
        <sz val="11"/>
        <rFont val="Times New Roman"/>
        <family val="1"/>
      </rPr>
      <t>)</t>
    </r>
  </si>
  <si>
    <r>
      <t>q</t>
    </r>
    <r>
      <rPr>
        <vertAlign val="subscript"/>
        <sz val="11"/>
        <rFont val="Times New Roman"/>
        <family val="1"/>
      </rPr>
      <t>d,vs</t>
    </r>
    <r>
      <rPr>
        <sz val="11"/>
        <rFont val="Times New Roman"/>
        <family val="1"/>
      </rPr>
      <t xml:space="preserve"> = K</t>
    </r>
    <r>
      <rPr>
        <vertAlign val="subscript"/>
        <sz val="11"/>
        <rFont val="Times New Roman"/>
        <family val="1"/>
      </rPr>
      <t>FI</t>
    </r>
    <r>
      <rPr>
        <sz val="11"/>
        <rFont val="Times New Roman"/>
        <family val="1"/>
      </rPr>
      <t>*1,5*V</t>
    </r>
    <r>
      <rPr>
        <vertAlign val="subscript"/>
        <sz val="11"/>
        <rFont val="Times New Roman"/>
        <family val="1"/>
      </rPr>
      <t>s</t>
    </r>
    <r>
      <rPr>
        <sz val="11"/>
        <rFont val="Times New Roman"/>
        <family val="1"/>
      </rPr>
      <t>+0,9*G</t>
    </r>
  </si>
  <si>
    <t>TF20, trapezplade</t>
  </si>
  <si>
    <t>Anvendes brandgips</t>
  </si>
  <si>
    <t>Brandisolering på underside</t>
  </si>
  <si>
    <t>Vejledende værdi</t>
  </si>
  <si>
    <t>Fladt landskab (I)</t>
  </si>
  <si>
    <t>Landbrugsland (II)</t>
  </si>
  <si>
    <t>Industriområde (III)</t>
  </si>
  <si>
    <t>Byområde (IV)</t>
  </si>
  <si>
    <t>Forstadsområde (III)</t>
  </si>
  <si>
    <r>
      <t>q</t>
    </r>
    <r>
      <rPr>
        <vertAlign val="subscript"/>
        <sz val="11"/>
        <rFont val="Times New Roman"/>
        <family val="1"/>
      </rPr>
      <t>d,b</t>
    </r>
    <r>
      <rPr>
        <sz val="11"/>
        <rFont val="Times New Roman"/>
        <family val="1"/>
      </rPr>
      <t xml:space="preserve"> = </t>
    </r>
    <r>
      <rPr>
        <sz val="11"/>
        <rFont val="Times New Roman"/>
        <family val="1"/>
      </rPr>
      <t>0,2*max(S,V</t>
    </r>
    <r>
      <rPr>
        <vertAlign val="subscript"/>
        <sz val="11"/>
        <rFont val="Times New Roman"/>
        <family val="1"/>
      </rPr>
      <t>t</t>
    </r>
    <r>
      <rPr>
        <sz val="11"/>
        <rFont val="Times New Roman"/>
        <family val="1"/>
      </rPr>
      <t>)+1*G+1*G</t>
    </r>
    <r>
      <rPr>
        <vertAlign val="subscript"/>
        <sz val="11"/>
        <rFont val="Times New Roman"/>
        <family val="1"/>
      </rPr>
      <t>op</t>
    </r>
  </si>
  <si>
    <t>Specielt spænd for trapezplade</t>
  </si>
  <si>
    <t>Spændvidde 2</t>
  </si>
  <si>
    <t>Spændvidde for 2. fag</t>
  </si>
  <si>
    <t>Ekstra egenlast tag</t>
  </si>
  <si>
    <t>Ekstra egenlast loft</t>
  </si>
  <si>
    <t>Evt. ekstra egenlast for tagopbygning</t>
  </si>
  <si>
    <t>Evt. ekstra egenlast for loft</t>
  </si>
  <si>
    <t>Angiver at input er valgfrit. Hvis intet angives anvendes den vejledende værdi</t>
  </si>
  <si>
    <t>Anvendelse, sne dominerende</t>
  </si>
  <si>
    <t>Anvendelse, vind dominerende</t>
  </si>
  <si>
    <t>Anvendelse, opadrettet vind dominerende</t>
  </si>
  <si>
    <r>
      <t>q</t>
    </r>
    <r>
      <rPr>
        <vertAlign val="subscript"/>
        <sz val="11"/>
        <rFont val="Times New Roman"/>
        <family val="1"/>
      </rPr>
      <t>k,vs</t>
    </r>
    <r>
      <rPr>
        <sz val="11"/>
        <rFont val="Times New Roman"/>
        <family val="1"/>
      </rPr>
      <t xml:space="preserve"> = V</t>
    </r>
    <r>
      <rPr>
        <vertAlign val="subscript"/>
        <sz val="11"/>
        <rFont val="Times New Roman"/>
        <family val="1"/>
      </rPr>
      <t>s</t>
    </r>
    <r>
      <rPr>
        <sz val="11"/>
        <rFont val="Times New Roman"/>
        <family val="1"/>
      </rPr>
      <t>+0,9*G</t>
    </r>
  </si>
  <si>
    <t>Trapezplade, sne dominerende</t>
  </si>
  <si>
    <t>Trapezplade, vind dominerende</t>
  </si>
  <si>
    <t>Trapezplade, opadrettet vind dominerende</t>
  </si>
  <si>
    <r>
      <t>G</t>
    </r>
    <r>
      <rPr>
        <vertAlign val="subscript"/>
        <sz val="11"/>
        <rFont val="Times New Roman"/>
        <family val="1"/>
      </rPr>
      <t>montage</t>
    </r>
  </si>
  <si>
    <r>
      <t>G</t>
    </r>
    <r>
      <rPr>
        <vertAlign val="subscript"/>
        <sz val="11"/>
        <rFont val="Times New Roman"/>
        <family val="1"/>
      </rPr>
      <t>tag</t>
    </r>
  </si>
  <si>
    <r>
      <t>G</t>
    </r>
    <r>
      <rPr>
        <vertAlign val="subscript"/>
        <sz val="11"/>
        <rFont val="Times New Roman"/>
        <family val="1"/>
      </rPr>
      <t>loft</t>
    </r>
  </si>
  <si>
    <r>
      <t>G = G</t>
    </r>
    <r>
      <rPr>
        <vertAlign val="subscript"/>
        <sz val="11"/>
        <rFont val="Times New Roman"/>
        <family val="1"/>
      </rPr>
      <t>skandek</t>
    </r>
    <r>
      <rPr>
        <sz val="11"/>
        <rFont val="Times New Roman"/>
        <family val="1"/>
      </rPr>
      <t>+G</t>
    </r>
    <r>
      <rPr>
        <vertAlign val="subscript"/>
        <sz val="11"/>
        <rFont val="Times New Roman"/>
        <family val="1"/>
      </rPr>
      <t>tag</t>
    </r>
    <r>
      <rPr>
        <sz val="11"/>
        <rFont val="Times New Roman"/>
        <family val="1"/>
      </rPr>
      <t>+G</t>
    </r>
    <r>
      <rPr>
        <vertAlign val="subscript"/>
        <sz val="11"/>
        <rFont val="Times New Roman"/>
        <family val="1"/>
      </rPr>
      <t>loft</t>
    </r>
  </si>
  <si>
    <r>
      <t>G</t>
    </r>
    <r>
      <rPr>
        <vertAlign val="subscript"/>
        <sz val="11"/>
        <rFont val="Times New Roman"/>
        <family val="1"/>
      </rPr>
      <t>skandek</t>
    </r>
  </si>
  <si>
    <t>Egenlast trapezplade</t>
  </si>
  <si>
    <r>
      <t>G</t>
    </r>
    <r>
      <rPr>
        <vertAlign val="subscript"/>
        <sz val="11"/>
        <rFont val="Times New Roman"/>
        <family val="1"/>
      </rPr>
      <t>trapez</t>
    </r>
    <r>
      <rPr>
        <sz val="11"/>
        <rFont val="Times New Roman"/>
        <family val="1"/>
      </rPr>
      <t xml:space="preserve"> = G</t>
    </r>
    <r>
      <rPr>
        <vertAlign val="subscript"/>
        <sz val="11"/>
        <rFont val="Times New Roman"/>
        <family val="1"/>
      </rPr>
      <t>skandek,overside</t>
    </r>
    <r>
      <rPr>
        <sz val="11"/>
        <rFont val="Times New Roman"/>
        <family val="1"/>
      </rPr>
      <t>+G</t>
    </r>
    <r>
      <rPr>
        <vertAlign val="subscript"/>
        <sz val="11"/>
        <rFont val="Times New Roman"/>
        <family val="1"/>
      </rPr>
      <t>tag</t>
    </r>
  </si>
  <si>
    <r>
      <t>q</t>
    </r>
    <r>
      <rPr>
        <vertAlign val="subscript"/>
        <sz val="11"/>
        <rFont val="Times New Roman"/>
        <family val="1"/>
      </rPr>
      <t>d,s,t</t>
    </r>
    <r>
      <rPr>
        <sz val="11"/>
        <rFont val="Times New Roman"/>
        <family val="1"/>
      </rPr>
      <t xml:space="preserve"> = K</t>
    </r>
    <r>
      <rPr>
        <vertAlign val="subscript"/>
        <sz val="11"/>
        <rFont val="Times New Roman"/>
        <family val="1"/>
      </rPr>
      <t>FI</t>
    </r>
    <r>
      <rPr>
        <sz val="11"/>
        <rFont val="Times New Roman"/>
        <family val="1"/>
      </rPr>
      <t>*(1,5*S+0,45*V</t>
    </r>
    <r>
      <rPr>
        <vertAlign val="subscript"/>
        <sz val="11"/>
        <rFont val="Times New Roman"/>
        <family val="1"/>
      </rPr>
      <t>t</t>
    </r>
    <r>
      <rPr>
        <sz val="11"/>
        <rFont val="Times New Roman"/>
        <family val="1"/>
      </rPr>
      <t>+G</t>
    </r>
    <r>
      <rPr>
        <vertAlign val="subscript"/>
        <sz val="11"/>
        <rFont val="Times New Roman"/>
        <family val="1"/>
      </rPr>
      <t>trapez</t>
    </r>
    <r>
      <rPr>
        <sz val="11"/>
        <rFont val="Times New Roman"/>
        <family val="1"/>
      </rPr>
      <t>)</t>
    </r>
  </si>
  <si>
    <r>
      <t>q</t>
    </r>
    <r>
      <rPr>
        <vertAlign val="subscript"/>
        <sz val="11"/>
        <rFont val="Times New Roman"/>
        <family val="1"/>
      </rPr>
      <t>d,vt,t</t>
    </r>
    <r>
      <rPr>
        <sz val="11"/>
        <rFont val="Times New Roman"/>
        <family val="1"/>
      </rPr>
      <t xml:space="preserve"> = K</t>
    </r>
    <r>
      <rPr>
        <vertAlign val="subscript"/>
        <sz val="11"/>
        <rFont val="Times New Roman"/>
        <family val="1"/>
      </rPr>
      <t>FI</t>
    </r>
    <r>
      <rPr>
        <sz val="11"/>
        <rFont val="Times New Roman"/>
        <family val="1"/>
      </rPr>
      <t>*(1,5*V</t>
    </r>
    <r>
      <rPr>
        <vertAlign val="subscript"/>
        <sz val="11"/>
        <rFont val="Times New Roman"/>
        <family val="1"/>
      </rPr>
      <t>t</t>
    </r>
    <r>
      <rPr>
        <sz val="11"/>
        <rFont val="Times New Roman"/>
        <family val="1"/>
      </rPr>
      <t>+G</t>
    </r>
    <r>
      <rPr>
        <vertAlign val="subscript"/>
        <sz val="11"/>
        <rFont val="Times New Roman"/>
        <family val="1"/>
      </rPr>
      <t>trapez</t>
    </r>
    <r>
      <rPr>
        <sz val="11"/>
        <rFont val="Times New Roman"/>
        <family val="1"/>
      </rPr>
      <t>)</t>
    </r>
  </si>
  <si>
    <r>
      <t>q</t>
    </r>
    <r>
      <rPr>
        <vertAlign val="subscript"/>
        <sz val="11"/>
        <rFont val="Times New Roman"/>
        <family val="1"/>
      </rPr>
      <t>d,vs</t>
    </r>
    <r>
      <rPr>
        <sz val="11"/>
        <rFont val="Times New Roman"/>
        <family val="1"/>
      </rPr>
      <t xml:space="preserve"> = K</t>
    </r>
    <r>
      <rPr>
        <vertAlign val="subscript"/>
        <sz val="11"/>
        <rFont val="Times New Roman"/>
        <family val="1"/>
      </rPr>
      <t>FI</t>
    </r>
    <r>
      <rPr>
        <sz val="11"/>
        <rFont val="Times New Roman"/>
        <family val="1"/>
      </rPr>
      <t>*1,5*V</t>
    </r>
    <r>
      <rPr>
        <vertAlign val="subscript"/>
        <sz val="11"/>
        <rFont val="Times New Roman"/>
        <family val="1"/>
      </rPr>
      <t>s</t>
    </r>
    <r>
      <rPr>
        <sz val="11"/>
        <rFont val="Times New Roman"/>
        <family val="1"/>
      </rPr>
      <t>+0,9*G</t>
    </r>
    <r>
      <rPr>
        <vertAlign val="subscript"/>
        <sz val="11"/>
        <rFont val="Times New Roman"/>
        <family val="1"/>
      </rPr>
      <t>trapez</t>
    </r>
  </si>
  <si>
    <t>Deformation</t>
  </si>
  <si>
    <t>Reaktion endevederlag</t>
  </si>
  <si>
    <t>Reaktion mellemunderstøtning</t>
  </si>
  <si>
    <r>
      <t>Hvis maks. kar. hastighedstryk q</t>
    </r>
    <r>
      <rPr>
        <vertAlign val="subscript"/>
        <sz val="11"/>
        <rFont val="Times New Roman"/>
        <family val="1"/>
      </rPr>
      <t>max</t>
    </r>
    <r>
      <rPr>
        <sz val="11"/>
        <rFont val="Times New Roman"/>
        <family val="1"/>
      </rPr>
      <t xml:space="preserve"> er oplyst, kan denne indtastes manuelt i celle E,37 under fanebladet </t>
    </r>
    <r>
      <rPr>
        <i/>
        <sz val="11"/>
        <rFont val="Times New Roman"/>
        <family val="1"/>
      </rPr>
      <t>Laster</t>
    </r>
    <r>
      <rPr>
        <sz val="11"/>
        <rFont val="Times New Roman"/>
        <family val="1"/>
      </rPr>
      <t xml:space="preserve"> i stedet for at angive højde og landskab</t>
    </r>
  </si>
  <si>
    <t>Ved store portåbninger vil de indv. formfaktorer for vindlasten øges</t>
  </si>
  <si>
    <t>Anvendes pilhøjde</t>
  </si>
  <si>
    <r>
      <t>q</t>
    </r>
    <r>
      <rPr>
        <vertAlign val="subscript"/>
        <sz val="11"/>
        <rFont val="Times New Roman"/>
        <family val="1"/>
      </rPr>
      <t>k,s</t>
    </r>
    <r>
      <rPr>
        <sz val="11"/>
        <rFont val="Times New Roman"/>
        <family val="1"/>
      </rPr>
      <t xml:space="preserve"> = G+S+0,3*V</t>
    </r>
    <r>
      <rPr>
        <vertAlign val="subscript"/>
        <sz val="11"/>
        <rFont val="Times New Roman"/>
        <family val="1"/>
      </rPr>
      <t>t</t>
    </r>
    <r>
      <rPr>
        <sz val="11"/>
        <rFont val="Times New Roman"/>
        <family val="1"/>
      </rPr>
      <t>+G</t>
    </r>
    <r>
      <rPr>
        <vertAlign val="subscript"/>
        <sz val="11"/>
        <rFont val="Times New Roman"/>
        <family val="1"/>
      </rPr>
      <t>op</t>
    </r>
  </si>
  <si>
    <r>
      <t>q</t>
    </r>
    <r>
      <rPr>
        <vertAlign val="subscript"/>
        <sz val="11"/>
        <rFont val="Times New Roman"/>
        <family val="1"/>
      </rPr>
      <t>k,vt</t>
    </r>
    <r>
      <rPr>
        <sz val="11"/>
        <rFont val="Times New Roman"/>
        <family val="1"/>
      </rPr>
      <t xml:space="preserve"> = G+V</t>
    </r>
    <r>
      <rPr>
        <vertAlign val="subscript"/>
        <sz val="11"/>
        <rFont val="Times New Roman"/>
        <family val="1"/>
      </rPr>
      <t>t</t>
    </r>
    <r>
      <rPr>
        <sz val="11"/>
        <rFont val="Times New Roman"/>
        <family val="1"/>
      </rPr>
      <t>+G</t>
    </r>
    <r>
      <rPr>
        <vertAlign val="subscript"/>
        <sz val="11"/>
        <rFont val="Times New Roman"/>
        <family val="1"/>
      </rPr>
      <t>op</t>
    </r>
  </si>
  <si>
    <t>Nedbøjning ved</t>
  </si>
  <si>
    <t>pilhøjde</t>
  </si>
  <si>
    <t>Nedbøjning uden</t>
  </si>
  <si>
    <t>Resultat</t>
  </si>
  <si>
    <t>For zone G, H og I</t>
  </si>
  <si>
    <t>J</t>
  </si>
  <si>
    <t>Installationer</t>
  </si>
  <si>
    <t>0°</t>
  </si>
  <si>
    <t>90°</t>
  </si>
  <si>
    <t>0/180°</t>
  </si>
  <si>
    <t>For 0°</t>
  </si>
  <si>
    <t>For 180°</t>
  </si>
  <si>
    <r>
      <t>L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= L</t>
    </r>
    <r>
      <rPr>
        <vertAlign val="subscript"/>
        <sz val="11"/>
        <rFont val="Times New Roman"/>
        <family val="1"/>
      </rPr>
      <t>t</t>
    </r>
    <r>
      <rPr>
        <sz val="11"/>
        <rFont val="Times New Roman"/>
        <family val="1"/>
      </rPr>
      <t>-L</t>
    </r>
    <r>
      <rPr>
        <vertAlign val="subscript"/>
        <sz val="11"/>
        <rFont val="Times New Roman"/>
        <family val="1"/>
      </rPr>
      <t>1</t>
    </r>
  </si>
  <si>
    <r>
      <t>L</t>
    </r>
    <r>
      <rPr>
        <vertAlign val="subscript"/>
        <sz val="11"/>
        <rFont val="Times New Roman"/>
        <family val="1"/>
      </rPr>
      <t>1</t>
    </r>
  </si>
  <si>
    <t>ved produktion</t>
  </si>
  <si>
    <t>Valgt pilhøjde</t>
  </si>
  <si>
    <t>BD30</t>
  </si>
  <si>
    <t>Last for installationer regnes som en variabel last og medtages ved deformationsbergninger</t>
  </si>
  <si>
    <t>Maksimal c-c afstand [m]</t>
  </si>
  <si>
    <t>Maksimal c-c afstand ved brand [m]</t>
  </si>
  <si>
    <t>Maksimal c-c afstand</t>
  </si>
  <si>
    <t>c-c</t>
  </si>
  <si>
    <t>Vægt</t>
  </si>
  <si>
    <t>Min c-c afstand</t>
  </si>
  <si>
    <r>
      <t>c</t>
    </r>
    <r>
      <rPr>
        <vertAlign val="subscript"/>
        <sz val="11"/>
        <rFont val="Times New Roman"/>
        <family val="1"/>
      </rPr>
      <t>min</t>
    </r>
  </si>
  <si>
    <t>Max spænd for t = 0,65 mm</t>
  </si>
  <si>
    <t>Max spænd for t = 0,70 mm</t>
  </si>
  <si>
    <t>Max spænd for t = 0,75 mm</t>
  </si>
  <si>
    <t>c</t>
  </si>
  <si>
    <t>n = 3 stk</t>
  </si>
  <si>
    <t>Godstyk.\Spænd</t>
  </si>
  <si>
    <t>Trapezplade, TF30, underpap, pap</t>
  </si>
  <si>
    <t>Trapezplade, underpap, kileskåret isolering, 2 lag pap</t>
  </si>
  <si>
    <t>Trapezplade, TF30, 1,2 mm tagfolie</t>
  </si>
  <si>
    <t>Andet</t>
  </si>
  <si>
    <t>0 kN/m</t>
  </si>
  <si>
    <t>Opbygning</t>
  </si>
  <si>
    <t>Egenlasten angivet i tabellen angiver den samlede egenlast for de anførte laster for evt. ekstar egenlast af tag og loft samt egenlast af SkanDekbjælkjerne.</t>
  </si>
  <si>
    <t>For bjælker uden pilhøjde medregnes ligeledes bjælkens egenlast ved beregning af nedbøjningen.</t>
  </si>
  <si>
    <t>c-c afstand</t>
  </si>
  <si>
    <t>BD60</t>
  </si>
  <si>
    <t>OK</t>
  </si>
  <si>
    <t>Ikke OK</t>
  </si>
  <si>
    <t>NB! Der tages ikke hensyn til formfaktorer ved hjørner (zone F)</t>
  </si>
  <si>
    <t>Dimensionsgivende krav</t>
  </si>
  <si>
    <t>Forudsætninger for beregning af SkanDekbjælke til tag</t>
  </si>
  <si>
    <t>Anvendes kun for mellemunderstøttede bjælker</t>
  </si>
  <si>
    <t>Her vælges Nej, hvis bjælkerne laves uden pilhøjde</t>
  </si>
  <si>
    <t>Spredt forskalling</t>
  </si>
  <si>
    <t>Spredt forskalling med isolering</t>
  </si>
  <si>
    <t>Nedbøjningen er for bjælker med pilhøjde beregnet for 1,0 x egenlast + 1,0 x snelast + 0,3 x vindlast + 1,0 x last fra installationer.</t>
  </si>
  <si>
    <t xml:space="preserve">*Sneophobningen omregnes til en fladelast. Hvis bjælkerne spænder vinkelret på </t>
  </si>
  <si>
    <t>længden af snedriven regnes snelasten lig med den fulde sneophobning. Hvis bjælkerne</t>
  </si>
  <si>
    <t>giver dog en øget deformation i forhold til den faktiske deformation.</t>
  </si>
  <si>
    <t>Normgrundlag</t>
  </si>
  <si>
    <t>opdateret April-2010</t>
  </si>
</sst>
</file>

<file path=xl/styles.xml><?xml version="1.0" encoding="utf-8"?>
<styleSheet xmlns="http://schemas.openxmlformats.org/spreadsheetml/2006/main">
  <numFmts count="2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0.000"/>
    <numFmt numFmtId="174" formatCode="0.000000"/>
    <numFmt numFmtId="175" formatCode="0.00000"/>
    <numFmt numFmtId="176" formatCode="0.0000"/>
    <numFmt numFmtId="177" formatCode="0.00000000"/>
    <numFmt numFmtId="178" formatCode="0.0000000"/>
    <numFmt numFmtId="179" formatCode="#,##0.0"/>
  </numFmts>
  <fonts count="47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vertAlign val="subscript"/>
      <sz val="11"/>
      <name val="Times New Roman"/>
      <family val="1"/>
    </font>
    <font>
      <sz val="8"/>
      <name val="Arial"/>
      <family val="0"/>
    </font>
    <font>
      <u val="single"/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u val="single"/>
      <sz val="11"/>
      <name val="Times Roman"/>
      <family val="1"/>
    </font>
    <font>
      <b/>
      <u val="single"/>
      <sz val="11"/>
      <name val="Times New Roman"/>
      <family val="1"/>
    </font>
    <font>
      <b/>
      <i/>
      <sz val="14"/>
      <name val="Times New Roman"/>
      <family val="1"/>
    </font>
    <font>
      <sz val="11"/>
      <color indexed="5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23" borderId="2" applyNumberFormat="0" applyAlignment="0" applyProtection="0"/>
    <xf numFmtId="0" fontId="37" fillId="24" borderId="3" applyNumberFormat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1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0" xfId="0" applyFont="1" applyFill="1" applyBorder="1" applyAlignment="1">
      <alignment/>
    </xf>
    <xf numFmtId="172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0" fontId="2" fillId="0" borderId="18" xfId="0" applyFont="1" applyBorder="1" applyAlignment="1">
      <alignment vertical="justify"/>
    </xf>
    <xf numFmtId="0" fontId="2" fillId="0" borderId="1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8" xfId="0" applyFont="1" applyFill="1" applyBorder="1" applyAlignment="1">
      <alignment vertical="justify"/>
    </xf>
    <xf numFmtId="0" fontId="2" fillId="0" borderId="11" xfId="0" applyFont="1" applyFill="1" applyBorder="1" applyAlignment="1">
      <alignment/>
    </xf>
    <xf numFmtId="0" fontId="2" fillId="0" borderId="20" xfId="0" applyFont="1" applyBorder="1" applyAlignment="1">
      <alignment vertical="justify"/>
    </xf>
    <xf numFmtId="0" fontId="2" fillId="0" borderId="0" xfId="0" applyFont="1" applyBorder="1" applyAlignment="1">
      <alignment vertical="justify"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9" xfId="0" applyFont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7" fillId="0" borderId="0" xfId="0" applyFont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72" fontId="2" fillId="0" borderId="20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17" xfId="0" applyFont="1" applyBorder="1" applyAlignment="1">
      <alignment vertical="justify"/>
    </xf>
    <xf numFmtId="2" fontId="2" fillId="0" borderId="14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172" fontId="2" fillId="0" borderId="0" xfId="0" applyNumberFormat="1" applyFont="1" applyBorder="1" applyAlignment="1">
      <alignment horizontal="center" vertical="justify"/>
    </xf>
    <xf numFmtId="172" fontId="2" fillId="0" borderId="14" xfId="0" applyNumberFormat="1" applyFont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172" fontId="2" fillId="0" borderId="18" xfId="0" applyNumberFormat="1" applyFont="1" applyBorder="1" applyAlignment="1">
      <alignment horizontal="center"/>
    </xf>
    <xf numFmtId="172" fontId="2" fillId="0" borderId="15" xfId="0" applyNumberFormat="1" applyFont="1" applyBorder="1" applyAlignment="1">
      <alignment horizontal="center"/>
    </xf>
    <xf numFmtId="172" fontId="2" fillId="0" borderId="19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172" fontId="2" fillId="0" borderId="17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2" fillId="0" borderId="14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3" fontId="2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9" xfId="0" applyFont="1" applyBorder="1" applyAlignment="1">
      <alignment horizontal="right"/>
    </xf>
    <xf numFmtId="2" fontId="2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Fill="1" applyBorder="1" applyAlignment="1">
      <alignment/>
    </xf>
    <xf numFmtId="3" fontId="2" fillId="0" borderId="11" xfId="0" applyNumberFormat="1" applyFont="1" applyBorder="1" applyAlignment="1">
      <alignment horizontal="right"/>
    </xf>
    <xf numFmtId="172" fontId="2" fillId="0" borderId="14" xfId="0" applyNumberFormat="1" applyFont="1" applyBorder="1" applyAlignment="1">
      <alignment/>
    </xf>
    <xf numFmtId="0" fontId="2" fillId="0" borderId="19" xfId="0" applyFont="1" applyFill="1" applyBorder="1" applyAlignment="1">
      <alignment horizontal="center" vertical="justify"/>
    </xf>
    <xf numFmtId="0" fontId="2" fillId="0" borderId="20" xfId="0" applyFont="1" applyFill="1" applyBorder="1" applyAlignment="1">
      <alignment horizontal="center" vertical="justify"/>
    </xf>
    <xf numFmtId="0" fontId="2" fillId="0" borderId="15" xfId="0" applyFont="1" applyFill="1" applyBorder="1" applyAlignment="1">
      <alignment horizontal="center" vertical="justify"/>
    </xf>
    <xf numFmtId="2" fontId="2" fillId="0" borderId="1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2" fillId="0" borderId="22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center" vertical="justify"/>
    </xf>
    <xf numFmtId="2" fontId="2" fillId="0" borderId="19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0" xfId="0" applyAlignment="1">
      <alignment/>
    </xf>
    <xf numFmtId="0" fontId="6" fillId="0" borderId="14" xfId="0" applyFont="1" applyBorder="1" applyAlignment="1">
      <alignment/>
    </xf>
    <xf numFmtId="0" fontId="2" fillId="0" borderId="20" xfId="0" applyFont="1" applyBorder="1" applyAlignment="1">
      <alignment horizontal="center" vertical="justify"/>
    </xf>
    <xf numFmtId="0" fontId="2" fillId="0" borderId="2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172" fontId="2" fillId="0" borderId="0" xfId="0" applyNumberFormat="1" applyFont="1" applyAlignment="1">
      <alignment/>
    </xf>
    <xf numFmtId="0" fontId="9" fillId="0" borderId="0" xfId="0" applyFont="1" applyAlignment="1">
      <alignment/>
    </xf>
    <xf numFmtId="0" fontId="2" fillId="0" borderId="17" xfId="0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/>
    </xf>
    <xf numFmtId="172" fontId="2" fillId="0" borderId="0" xfId="0" applyNumberFormat="1" applyFont="1" applyBorder="1" applyAlignment="1">
      <alignment horizontal="left"/>
    </xf>
    <xf numFmtId="172" fontId="6" fillId="0" borderId="0" xfId="0" applyNumberFormat="1" applyFont="1" applyBorder="1" applyAlignment="1">
      <alignment horizontal="left"/>
    </xf>
    <xf numFmtId="2" fontId="2" fillId="0" borderId="13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left"/>
    </xf>
    <xf numFmtId="1" fontId="2" fillId="0" borderId="12" xfId="0" applyNumberFormat="1" applyFont="1" applyBorder="1" applyAlignment="1">
      <alignment horizontal="left"/>
    </xf>
    <xf numFmtId="0" fontId="0" fillId="0" borderId="19" xfId="0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 horizontal="center" vertical="justify"/>
    </xf>
    <xf numFmtId="2" fontId="2" fillId="0" borderId="16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Alignment="1">
      <alignment/>
    </xf>
    <xf numFmtId="1" fontId="2" fillId="0" borderId="11" xfId="0" applyNumberFormat="1" applyFont="1" applyBorder="1" applyAlignment="1">
      <alignment horizontal="right"/>
    </xf>
    <xf numFmtId="172" fontId="2" fillId="0" borderId="16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"/>
    </xf>
    <xf numFmtId="172" fontId="2" fillId="0" borderId="17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72" fontId="2" fillId="0" borderId="18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72" fontId="2" fillId="0" borderId="19" xfId="0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/>
    </xf>
    <xf numFmtId="172" fontId="2" fillId="0" borderId="20" xfId="0" applyNumberFormat="1" applyFont="1" applyFill="1" applyBorder="1" applyAlignment="1">
      <alignment horizontal="center"/>
    </xf>
    <xf numFmtId="2" fontId="2" fillId="0" borderId="11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2" fillId="0" borderId="12" xfId="0" applyFont="1" applyFill="1" applyBorder="1" applyAlignment="1">
      <alignment/>
    </xf>
    <xf numFmtId="172" fontId="2" fillId="0" borderId="11" xfId="0" applyNumberFormat="1" applyFont="1" applyBorder="1" applyAlignment="1">
      <alignment/>
    </xf>
    <xf numFmtId="0" fontId="2" fillId="0" borderId="15" xfId="0" applyFont="1" applyBorder="1" applyAlignment="1">
      <alignment horizontal="left"/>
    </xf>
    <xf numFmtId="1" fontId="2" fillId="0" borderId="15" xfId="0" applyNumberFormat="1" applyFont="1" applyBorder="1" applyAlignment="1">
      <alignment/>
    </xf>
    <xf numFmtId="3" fontId="2" fillId="0" borderId="14" xfId="0" applyNumberFormat="1" applyFont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3" fontId="2" fillId="0" borderId="11" xfId="0" applyNumberFormat="1" applyFont="1" applyBorder="1" applyAlignment="1">
      <alignment horizontal="left"/>
    </xf>
    <xf numFmtId="0" fontId="12" fillId="0" borderId="0" xfId="0" applyFont="1" applyBorder="1" applyAlignment="1">
      <alignment/>
    </xf>
    <xf numFmtId="0" fontId="8" fillId="0" borderId="0" xfId="0" applyFont="1" applyAlignment="1">
      <alignment/>
    </xf>
    <xf numFmtId="2" fontId="2" fillId="0" borderId="14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2" fillId="0" borderId="13" xfId="0" applyFont="1" applyFill="1" applyBorder="1" applyAlignment="1">
      <alignment/>
    </xf>
    <xf numFmtId="2" fontId="2" fillId="0" borderId="19" xfId="0" applyNumberFormat="1" applyFont="1" applyBorder="1" applyAlignment="1">
      <alignment/>
    </xf>
    <xf numFmtId="0" fontId="7" fillId="0" borderId="0" xfId="0" applyFont="1" applyBorder="1" applyAlignment="1">
      <alignment/>
    </xf>
    <xf numFmtId="179" fontId="2" fillId="0" borderId="11" xfId="0" applyNumberFormat="1" applyFont="1" applyBorder="1" applyAlignment="1">
      <alignment horizontal="right"/>
    </xf>
    <xf numFmtId="179" fontId="2" fillId="0" borderId="11" xfId="0" applyNumberFormat="1" applyFont="1" applyFill="1" applyBorder="1" applyAlignment="1">
      <alignment/>
    </xf>
    <xf numFmtId="172" fontId="1" fillId="0" borderId="0" xfId="0" applyNumberFormat="1" applyFont="1" applyBorder="1" applyAlignment="1">
      <alignment horizontal="left"/>
    </xf>
    <xf numFmtId="172" fontId="2" fillId="0" borderId="0" xfId="0" applyNumberFormat="1" applyFont="1" applyBorder="1" applyAlignment="1">
      <alignment/>
    </xf>
    <xf numFmtId="2" fontId="2" fillId="0" borderId="0" xfId="0" applyNumberFormat="1" applyFont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1" xfId="0" applyFont="1" applyBorder="1" applyAlignment="1">
      <alignment/>
    </xf>
    <xf numFmtId="2" fontId="2" fillId="0" borderId="14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/>
    </xf>
    <xf numFmtId="0" fontId="0" fillId="0" borderId="23" xfId="0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0" fillId="0" borderId="18" xfId="0" applyBorder="1" applyAlignment="1">
      <alignment/>
    </xf>
    <xf numFmtId="1" fontId="2" fillId="0" borderId="15" xfId="0" applyNumberFormat="1" applyFont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36" borderId="11" xfId="0" applyFont="1" applyFill="1" applyBorder="1" applyAlignment="1">
      <alignment horizontal="right"/>
    </xf>
    <xf numFmtId="0" fontId="2" fillId="36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2" fillId="37" borderId="15" xfId="0" applyFont="1" applyFill="1" applyBorder="1" applyAlignment="1">
      <alignment horizontal="right"/>
    </xf>
    <xf numFmtId="0" fontId="0" fillId="37" borderId="19" xfId="0" applyFill="1" applyBorder="1" applyAlignment="1">
      <alignment/>
    </xf>
    <xf numFmtId="0" fontId="2" fillId="37" borderId="11" xfId="0" applyFont="1" applyFill="1" applyBorder="1" applyAlignment="1">
      <alignment horizontal="right"/>
    </xf>
    <xf numFmtId="0" fontId="0" fillId="37" borderId="0" xfId="0" applyFill="1" applyBorder="1" applyAlignment="1">
      <alignment horizontal="right"/>
    </xf>
    <xf numFmtId="0" fontId="0" fillId="37" borderId="0" xfId="0" applyFill="1" applyBorder="1" applyAlignment="1">
      <alignment/>
    </xf>
    <xf numFmtId="0" fontId="0" fillId="36" borderId="0" xfId="0" applyFill="1" applyBorder="1" applyAlignment="1">
      <alignment/>
    </xf>
    <xf numFmtId="0" fontId="2" fillId="37" borderId="0" xfId="0" applyFont="1" applyFill="1" applyBorder="1" applyAlignment="1">
      <alignment horizontal="right"/>
    </xf>
    <xf numFmtId="172" fontId="2" fillId="36" borderId="11" xfId="0" applyNumberFormat="1" applyFont="1" applyFill="1" applyBorder="1" applyAlignment="1">
      <alignment/>
    </xf>
    <xf numFmtId="172" fontId="2" fillId="36" borderId="14" xfId="0" applyNumberFormat="1" applyFont="1" applyFill="1" applyBorder="1" applyAlignment="1">
      <alignment/>
    </xf>
    <xf numFmtId="172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right"/>
    </xf>
    <xf numFmtId="0" fontId="2" fillId="36" borderId="11" xfId="0" applyFont="1" applyFill="1" applyBorder="1" applyAlignment="1">
      <alignment/>
    </xf>
    <xf numFmtId="172" fontId="2" fillId="36" borderId="11" xfId="0" applyNumberFormat="1" applyFont="1" applyFill="1" applyBorder="1" applyAlignment="1">
      <alignment horizontal="right"/>
    </xf>
    <xf numFmtId="172" fontId="0" fillId="0" borderId="0" xfId="0" applyNumberFormat="1" applyBorder="1" applyAlignment="1">
      <alignment/>
    </xf>
    <xf numFmtId="2" fontId="2" fillId="0" borderId="11" xfId="0" applyNumberFormat="1" applyFont="1" applyFill="1" applyBorder="1" applyAlignment="1">
      <alignment horizontal="right"/>
    </xf>
    <xf numFmtId="2" fontId="2" fillId="36" borderId="11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0" fontId="2" fillId="36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2" fontId="2" fillId="36" borderId="11" xfId="0" applyNumberFormat="1" applyFont="1" applyFill="1" applyBorder="1" applyAlignment="1">
      <alignment horizontal="right"/>
    </xf>
    <xf numFmtId="0" fontId="0" fillId="36" borderId="0" xfId="0" applyFill="1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taged&#230;k%20elemen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 &amp; Output"/>
      <sheetName val="Udskrift"/>
      <sheetName val="Laster"/>
      <sheetName val="Beregninger"/>
    </sheetNames>
    <sheetDataSet>
      <sheetData sheetId="2">
        <row r="56">
          <cell r="D56" t="str">
            <v>Ja</v>
          </cell>
        </row>
        <row r="57">
          <cell r="D57" t="str">
            <v>Nej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="75" zoomScaleNormal="75" zoomScalePageLayoutView="0" workbookViewId="0" topLeftCell="A1">
      <selection activeCell="B2" sqref="B2"/>
    </sheetView>
  </sheetViews>
  <sheetFormatPr defaultColWidth="9.140625" defaultRowHeight="12.75"/>
  <cols>
    <col min="1" max="1" width="9.421875" style="0" customWidth="1"/>
    <col min="2" max="2" width="26.8515625" style="0" customWidth="1"/>
    <col min="3" max="3" width="12.8515625" style="0" customWidth="1"/>
    <col min="4" max="4" width="12.00390625" style="0" customWidth="1"/>
    <col min="5" max="5" width="13.28125" style="0" customWidth="1"/>
    <col min="6" max="6" width="11.421875" style="0" customWidth="1"/>
    <col min="7" max="7" width="13.8515625" style="0" customWidth="1"/>
    <col min="8" max="8" width="12.00390625" style="0" bestFit="1" customWidth="1"/>
    <col min="9" max="9" width="13.00390625" style="0" customWidth="1"/>
    <col min="10" max="10" width="16.7109375" style="0" customWidth="1"/>
    <col min="11" max="11" width="16.8515625" style="0" customWidth="1"/>
  </cols>
  <sheetData>
    <row r="1" ht="12.75">
      <c r="B1" t="s">
        <v>368</v>
      </c>
    </row>
    <row r="2" spans="1:15" ht="15">
      <c r="A2" s="1" t="s">
        <v>367</v>
      </c>
      <c r="B2" s="2"/>
      <c r="C2" s="2"/>
      <c r="D2" s="2"/>
      <c r="E2" s="2"/>
      <c r="F2" s="2"/>
      <c r="G2" s="2"/>
      <c r="H2" s="2"/>
      <c r="I2" s="2"/>
      <c r="K2" s="28" t="s">
        <v>160</v>
      </c>
      <c r="L2" s="2"/>
      <c r="M2" s="2"/>
      <c r="N2" s="2"/>
      <c r="O2" s="2"/>
    </row>
    <row r="3" spans="1:14" ht="15">
      <c r="A3" s="2"/>
      <c r="B3" s="2"/>
      <c r="C3" s="2"/>
      <c r="D3" s="2"/>
      <c r="E3" s="2"/>
      <c r="F3" s="2"/>
      <c r="G3" s="2"/>
      <c r="H3" s="2"/>
      <c r="I3" s="2"/>
      <c r="K3" s="2"/>
      <c r="L3" s="2"/>
      <c r="M3" s="2"/>
      <c r="N3" s="2"/>
    </row>
    <row r="4" spans="1:15" ht="15">
      <c r="A4" s="2" t="s">
        <v>194</v>
      </c>
      <c r="B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5">
      <c r="A5" s="2" t="s">
        <v>195</v>
      </c>
      <c r="B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5">
      <c r="A6" s="2" t="s">
        <v>196</v>
      </c>
      <c r="B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">
      <c r="A8" s="1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5">
      <c r="A10" s="91"/>
      <c r="B10" s="2"/>
      <c r="C10" s="2" t="s">
        <v>130</v>
      </c>
      <c r="D10" s="2"/>
      <c r="E10" s="2"/>
      <c r="F10" s="2"/>
      <c r="G10" s="2"/>
      <c r="H10" s="2"/>
      <c r="I10" s="2"/>
      <c r="K10" s="28" t="s">
        <v>159</v>
      </c>
      <c r="L10" s="2"/>
      <c r="M10" s="2"/>
      <c r="N10" s="2"/>
      <c r="O10" s="2"/>
    </row>
    <row r="11" spans="1:15" ht="15">
      <c r="A11" s="98"/>
      <c r="B11" s="2"/>
      <c r="C11" s="2" t="s">
        <v>287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">
      <c r="A12" s="97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9" ht="15">
      <c r="A13" s="70" t="s">
        <v>140</v>
      </c>
      <c r="B13" s="2"/>
      <c r="C13" s="70" t="s">
        <v>141</v>
      </c>
      <c r="D13" s="70"/>
      <c r="F13" s="70"/>
      <c r="G13" s="185" t="s">
        <v>273</v>
      </c>
      <c r="H13" s="134"/>
      <c r="I13" s="2"/>
    </row>
    <row r="14" spans="1:9" ht="15">
      <c r="A14" s="29" t="s">
        <v>245</v>
      </c>
      <c r="B14" s="30"/>
      <c r="C14" s="223">
        <v>12</v>
      </c>
      <c r="D14" s="224"/>
      <c r="E14" s="225"/>
      <c r="F14" s="204" t="s">
        <v>2</v>
      </c>
      <c r="G14" s="31"/>
      <c r="H14" s="178">
        <f>IF(C15="Mellemunderstøttet",IF(C16&gt;2*C14,"Længste fag skal anvendes",""),"")</f>
      </c>
      <c r="I14" s="2"/>
    </row>
    <row r="15" spans="1:9" ht="15">
      <c r="A15" s="32" t="s">
        <v>158</v>
      </c>
      <c r="B15" s="8"/>
      <c r="C15" s="212" t="s">
        <v>160</v>
      </c>
      <c r="D15" s="226"/>
      <c r="E15" s="214"/>
      <c r="F15" s="47"/>
      <c r="G15" s="33"/>
      <c r="H15" s="178">
        <f>IF(C15="Simpelt understøttet",IF(C14&gt;22,"Max længde overskredet!",""),IF(C15="Mellemunderstøttet",IF(C16&gt;22,"Max længde overskredet!","")))</f>
      </c>
      <c r="I15" s="2"/>
    </row>
    <row r="16" spans="1:9" ht="15">
      <c r="A16" s="32" t="s">
        <v>261</v>
      </c>
      <c r="B16" s="8"/>
      <c r="C16" s="228">
        <v>12</v>
      </c>
      <c r="D16" s="229"/>
      <c r="E16" s="229"/>
      <c r="F16" s="47" t="s">
        <v>2</v>
      </c>
      <c r="G16" s="33"/>
      <c r="H16" s="2" t="s">
        <v>359</v>
      </c>
      <c r="I16" s="2"/>
    </row>
    <row r="17" spans="1:9" ht="15">
      <c r="A17" s="32" t="s">
        <v>150</v>
      </c>
      <c r="B17" s="8"/>
      <c r="C17" s="212" t="s">
        <v>113</v>
      </c>
      <c r="D17" s="214"/>
      <c r="E17" s="214"/>
      <c r="F17" s="47"/>
      <c r="G17" s="33"/>
      <c r="H17" s="2"/>
      <c r="I17" s="2"/>
    </row>
    <row r="18" spans="1:9" ht="15">
      <c r="A18" s="32" t="s">
        <v>9</v>
      </c>
      <c r="B18" s="8"/>
      <c r="C18" s="227">
        <v>2</v>
      </c>
      <c r="D18" s="214"/>
      <c r="E18" s="214"/>
      <c r="F18" s="47" t="s">
        <v>7</v>
      </c>
      <c r="G18" s="33"/>
      <c r="H18" s="178">
        <f>IF(C17="Fladt tag",IF(C18&gt;5,"Fladt tag højst 5 grader!",""),IF(C17="Pulttag",IF(C18&lt;5,"Pulttag mindst 5 grader!",""),IF(C17="Sadeltag",IF(C18&lt;5,"Sadeltag mindst 5 grader!",""),"")))</f>
      </c>
      <c r="I18" s="2"/>
    </row>
    <row r="19" spans="1:16" ht="15">
      <c r="A19" s="32" t="s">
        <v>131</v>
      </c>
      <c r="B19" s="8"/>
      <c r="C19" s="212" t="s">
        <v>275</v>
      </c>
      <c r="D19" s="213"/>
      <c r="E19" s="214"/>
      <c r="F19" s="47"/>
      <c r="G19" s="33"/>
      <c r="H19" s="178">
        <f>IF(C19="Fladt landskab (I)",IF(C20&lt;1,"Referencehøjde min 1 m!",""),IF(C19="Landbrugsland (II)",IF(C20&lt;2,"Referenzehøjde min 2 m!",""),IF(C19="Forstadsområde (III)",IF(C20&lt;5,"Referencehøjde min 5 m!",""),IF(C19="Industriområde (III)",IF(C20&lt;5,"Referencehøjde min 5 m!",""),IF(C19="Byområde (IV)",IF(C20&lt;10,"Referencehøjde min 10 m!",""))))))</f>
      </c>
      <c r="I19" s="2"/>
      <c r="L19" s="8"/>
      <c r="M19" s="8"/>
      <c r="N19" s="8"/>
      <c r="O19" s="8"/>
      <c r="P19" s="15"/>
    </row>
    <row r="20" spans="1:9" ht="16.5">
      <c r="A20" s="32" t="s">
        <v>6</v>
      </c>
      <c r="B20" s="8"/>
      <c r="C20" s="222">
        <v>10</v>
      </c>
      <c r="D20" s="214"/>
      <c r="E20" s="214"/>
      <c r="F20" s="47" t="s">
        <v>2</v>
      </c>
      <c r="G20" s="33"/>
      <c r="H20" s="2" t="s">
        <v>308</v>
      </c>
      <c r="I20" s="2"/>
    </row>
    <row r="21" spans="1:9" ht="15">
      <c r="A21" s="32" t="s">
        <v>191</v>
      </c>
      <c r="B21" s="8"/>
      <c r="C21" s="212" t="s">
        <v>344</v>
      </c>
      <c r="D21" s="214"/>
      <c r="E21" s="214"/>
      <c r="F21" s="47"/>
      <c r="G21" s="33"/>
      <c r="H21" s="169">
        <f>IF(C21="Andet","Egenlast skal indtastes manuelt som ekstra egenlast for tag","")</f>
      </c>
      <c r="I21" s="2"/>
    </row>
    <row r="22" spans="1:10" ht="15">
      <c r="A22" s="32" t="s">
        <v>192</v>
      </c>
      <c r="B22" s="8"/>
      <c r="C22" s="212" t="s">
        <v>270</v>
      </c>
      <c r="D22" s="214"/>
      <c r="E22" s="214"/>
      <c r="F22" s="47"/>
      <c r="G22" s="33"/>
      <c r="H22" s="169">
        <f>IF(C23="Ja","",IF(C37="Intet krav",IF(C22="Andet","Egenlast skal indtastes manuelt som ekstra egenlast for loft",""),IF(C37="BD30",IF(C22="Trapezplade","",IF(C22="TF20, Trapezplade","","2 stk. 12,5 mm gipsplader skal anvendes på undersiden pga. brandkrav. Egenlast indtastes manuelt som ekstra egenlast for loft")),IF(C37="BS30",IF(C22="Trapezplade","",IF(C22="TF20, trapezplade","","Trapezplade nødvendig på undersiden pga. brandkrav")),IF(C37="BD60",IF(C22="TF20, trapezplade","","TF20 og trapezplade nødvendig på undersiden pga. brandkrav"),IF(C37="BS60",IF(C22="TF20, trapezplade","","TF20 og trapezplade nødvendig på undersiden pga. brandkrav")))))))</f>
      </c>
      <c r="I22" s="8"/>
      <c r="J22" s="2"/>
    </row>
    <row r="23" spans="1:10" ht="15">
      <c r="A23" s="32" t="s">
        <v>271</v>
      </c>
      <c r="B23" s="8"/>
      <c r="C23" s="212" t="s">
        <v>243</v>
      </c>
      <c r="D23" s="214"/>
      <c r="E23" s="214"/>
      <c r="F23" s="47"/>
      <c r="G23" s="33"/>
      <c r="H23" s="169">
        <f>IF(C23="Nej","","Egenlast af brandgips skal indtastes manuelt som ekstra egenlast")</f>
      </c>
      <c r="I23" s="8"/>
      <c r="J23" s="2"/>
    </row>
    <row r="24" spans="1:10" ht="18">
      <c r="A24" s="32" t="s">
        <v>122</v>
      </c>
      <c r="B24" s="8"/>
      <c r="C24" s="230">
        <f>Laster!E8</f>
        <v>0.4508</v>
      </c>
      <c r="D24" s="214"/>
      <c r="E24" s="214"/>
      <c r="F24" s="47" t="s">
        <v>10</v>
      </c>
      <c r="G24" s="33"/>
      <c r="H24" s="8" t="s">
        <v>246</v>
      </c>
      <c r="I24" s="8"/>
      <c r="J24" s="2"/>
    </row>
    <row r="25" spans="1:16" ht="18">
      <c r="A25" s="32" t="s">
        <v>283</v>
      </c>
      <c r="B25" s="8"/>
      <c r="C25" s="231">
        <v>0</v>
      </c>
      <c r="D25" s="232"/>
      <c r="E25" s="214"/>
      <c r="F25" s="47" t="s">
        <v>10</v>
      </c>
      <c r="G25" s="33"/>
      <c r="H25" s="8" t="s">
        <v>285</v>
      </c>
      <c r="I25" s="8"/>
      <c r="J25" s="2"/>
      <c r="P25" s="2"/>
    </row>
    <row r="26" spans="1:16" ht="18">
      <c r="A26" s="32" t="s">
        <v>284</v>
      </c>
      <c r="B26" s="8"/>
      <c r="C26" s="231">
        <v>0</v>
      </c>
      <c r="D26" s="214"/>
      <c r="E26" s="214"/>
      <c r="F26" s="47" t="s">
        <v>10</v>
      </c>
      <c r="G26" s="33"/>
      <c r="H26" s="8" t="s">
        <v>286</v>
      </c>
      <c r="I26" s="8"/>
      <c r="J26" s="2"/>
      <c r="P26" s="2"/>
    </row>
    <row r="27" spans="1:16" ht="18">
      <c r="A27" s="32" t="s">
        <v>171</v>
      </c>
      <c r="B27" s="8"/>
      <c r="C27" s="238">
        <v>0.1</v>
      </c>
      <c r="D27" s="239"/>
      <c r="E27" s="239"/>
      <c r="F27" s="47" t="s">
        <v>10</v>
      </c>
      <c r="G27" s="33" t="s">
        <v>263</v>
      </c>
      <c r="H27" s="8" t="s">
        <v>330</v>
      </c>
      <c r="I27" s="8"/>
      <c r="J27" s="2"/>
      <c r="P27" s="2"/>
    </row>
    <row r="28" spans="1:16" ht="18">
      <c r="A28" s="32" t="s">
        <v>151</v>
      </c>
      <c r="B28" s="8"/>
      <c r="C28" s="238">
        <v>0</v>
      </c>
      <c r="D28" s="220"/>
      <c r="E28" s="220"/>
      <c r="F28" s="47" t="s">
        <v>10</v>
      </c>
      <c r="G28" s="33" t="s">
        <v>264</v>
      </c>
      <c r="H28" s="8" t="s">
        <v>155</v>
      </c>
      <c r="I28" s="8"/>
      <c r="J28" s="2"/>
      <c r="P28" s="2"/>
    </row>
    <row r="29" spans="1:16" ht="15">
      <c r="A29" s="50" t="s">
        <v>226</v>
      </c>
      <c r="B29" s="125"/>
      <c r="C29" s="227">
        <v>0.2</v>
      </c>
      <c r="D29" s="233"/>
      <c r="E29" s="233"/>
      <c r="F29" s="33" t="s">
        <v>48</v>
      </c>
      <c r="G29" s="61">
        <v>0.2</v>
      </c>
      <c r="H29" s="2" t="s">
        <v>309</v>
      </c>
      <c r="I29" s="8"/>
      <c r="J29" s="2"/>
      <c r="P29" s="2"/>
    </row>
    <row r="30" spans="1:16" ht="15">
      <c r="A30" s="50" t="s">
        <v>227</v>
      </c>
      <c r="B30" s="125"/>
      <c r="C30" s="227">
        <v>0.3</v>
      </c>
      <c r="D30" s="233"/>
      <c r="E30" s="233"/>
      <c r="F30" s="33" t="s">
        <v>48</v>
      </c>
      <c r="G30" s="61">
        <v>0.3</v>
      </c>
      <c r="H30" s="2" t="s">
        <v>309</v>
      </c>
      <c r="I30" s="8"/>
      <c r="J30" s="2"/>
      <c r="P30" s="2"/>
    </row>
    <row r="31" spans="1:16" ht="15">
      <c r="A31" s="50" t="s">
        <v>216</v>
      </c>
      <c r="B31" s="125"/>
      <c r="C31" s="212">
        <v>5</v>
      </c>
      <c r="D31" s="220"/>
      <c r="E31" s="220"/>
      <c r="F31" s="33" t="s">
        <v>217</v>
      </c>
      <c r="G31" s="47" t="s">
        <v>348</v>
      </c>
      <c r="H31" s="178">
        <f>IF(C31=0,"",IF(C31=5,IF(C21="Andet","Trapezplade nødvendig på oversiden pga. skivekræfter",""),IF(C31=10,IF(C21="Andet","Trapezplade nødvendig på oversiden pga. skivekræfter",IF(C22="Trapezplade","Låseplader på begge sider af element!",IF(C22="TF20, trapezplade","Låseplader på begge sider af element!","Trapezplade nødvendig på undersiden pga. skivekræfter"))))))</f>
      </c>
      <c r="I31" s="8"/>
      <c r="J31" s="2"/>
      <c r="P31" s="2"/>
    </row>
    <row r="32" spans="1:18" ht="15">
      <c r="A32" s="32" t="s">
        <v>4</v>
      </c>
      <c r="B32" s="8"/>
      <c r="C32" s="212">
        <v>200</v>
      </c>
      <c r="D32" s="239"/>
      <c r="E32" s="239"/>
      <c r="F32" s="47" t="s">
        <v>5</v>
      </c>
      <c r="G32" s="33" t="s">
        <v>265</v>
      </c>
      <c r="H32" s="2" t="s">
        <v>197</v>
      </c>
      <c r="I32" s="2"/>
      <c r="L32" s="2"/>
      <c r="M32" s="2"/>
      <c r="O32" s="2"/>
      <c r="R32" s="2"/>
    </row>
    <row r="33" spans="1:18" ht="15">
      <c r="A33" s="50" t="s">
        <v>310</v>
      </c>
      <c r="B33" s="125"/>
      <c r="C33" s="212" t="s">
        <v>242</v>
      </c>
      <c r="D33" s="220"/>
      <c r="E33" s="220"/>
      <c r="F33" s="33"/>
      <c r="G33" s="47" t="s">
        <v>242</v>
      </c>
      <c r="H33" s="8" t="s">
        <v>360</v>
      </c>
      <c r="I33" s="2"/>
      <c r="L33" s="2"/>
      <c r="M33" s="2"/>
      <c r="R33" s="2"/>
    </row>
    <row r="34" spans="1:18" ht="15">
      <c r="A34" s="32" t="s">
        <v>198</v>
      </c>
      <c r="B34" s="8"/>
      <c r="C34" s="217" t="s">
        <v>200</v>
      </c>
      <c r="D34" s="219"/>
      <c r="E34" s="219"/>
      <c r="F34" s="47"/>
      <c r="G34" s="33" t="s">
        <v>218</v>
      </c>
      <c r="H34" s="2"/>
      <c r="I34" s="8"/>
      <c r="J34" s="2"/>
      <c r="L34" s="2"/>
      <c r="M34" s="2"/>
      <c r="N34" s="2"/>
      <c r="R34" s="2"/>
    </row>
    <row r="35" spans="1:18" ht="15">
      <c r="A35" s="32" t="s">
        <v>249</v>
      </c>
      <c r="B35" s="8"/>
      <c r="C35" s="217" t="s">
        <v>250</v>
      </c>
      <c r="D35" s="221"/>
      <c r="E35" s="221"/>
      <c r="F35" s="47"/>
      <c r="G35" s="33" t="s">
        <v>250</v>
      </c>
      <c r="H35" s="2"/>
      <c r="I35" s="8"/>
      <c r="J35" s="2"/>
      <c r="L35" s="2"/>
      <c r="M35" s="2"/>
      <c r="N35" s="2"/>
      <c r="R35" s="2"/>
    </row>
    <row r="36" spans="1:18" ht="18">
      <c r="A36" s="32" t="s">
        <v>3</v>
      </c>
      <c r="B36" s="8"/>
      <c r="C36" s="217" t="s">
        <v>143</v>
      </c>
      <c r="D36" s="218"/>
      <c r="E36" s="219"/>
      <c r="F36" s="47" t="s">
        <v>65</v>
      </c>
      <c r="G36" s="33" t="s">
        <v>266</v>
      </c>
      <c r="H36" s="177">
        <f>IF(C36&lt;0.15,"Montering af ekstra isolering nødvendig på pladsen","")</f>
      </c>
      <c r="I36" s="8"/>
      <c r="J36" s="2"/>
      <c r="R36" s="2"/>
    </row>
    <row r="37" spans="1:18" ht="15">
      <c r="A37" s="34" t="s">
        <v>137</v>
      </c>
      <c r="B37" s="35"/>
      <c r="C37" s="215" t="s">
        <v>143</v>
      </c>
      <c r="D37" s="216"/>
      <c r="E37" s="216"/>
      <c r="F37" s="137"/>
      <c r="G37" s="36" t="s">
        <v>143</v>
      </c>
      <c r="H37" s="178">
        <f>IF(C23="Ja","",IF(C37="Intet krav","",IF(C14&gt;18,"Brandkrav kan ikke overholdes pga. spændvidden. Brandgips nødvendigt!",IF(Beregninger!E25&gt;2.25,IF('Input &amp; Output'!C22="TF20, trapezplade","","Brandkrav kan ikke overholdes pga. nyttelastens størrelse. Brandgips eller TF20 og trapezplade nødvendigt på undersiden!"),IF(Laster!H7="OK","","Valg af underside ikke OK pga. brandkrav")))))</f>
      </c>
      <c r="I37" s="2"/>
      <c r="R37" s="2"/>
    </row>
    <row r="38" ht="15">
      <c r="I38" s="2"/>
    </row>
    <row r="39" spans="1:9" ht="15">
      <c r="A39" s="2" t="s">
        <v>364</v>
      </c>
      <c r="I39" s="2"/>
    </row>
    <row r="40" spans="1:9" ht="15">
      <c r="A40" s="2" t="s">
        <v>365</v>
      </c>
      <c r="I40" s="2"/>
    </row>
    <row r="41" spans="1:9" ht="15">
      <c r="A41" s="2" t="s">
        <v>156</v>
      </c>
      <c r="I41" s="2"/>
    </row>
    <row r="42" spans="1:9" ht="15">
      <c r="A42" s="2" t="s">
        <v>157</v>
      </c>
      <c r="I42" s="2"/>
    </row>
    <row r="43" spans="1:9" ht="15">
      <c r="A43" s="2" t="s">
        <v>366</v>
      </c>
      <c r="I43" s="2"/>
    </row>
    <row r="44" spans="1:9" ht="15">
      <c r="A44" s="2"/>
      <c r="I44" s="2"/>
    </row>
    <row r="45" spans="1:18" ht="15">
      <c r="A45" s="37" t="s">
        <v>64</v>
      </c>
      <c r="B45" s="2"/>
      <c r="C45" s="2"/>
      <c r="D45" s="2"/>
      <c r="F45" s="2"/>
      <c r="G45" s="2"/>
      <c r="H45" s="2"/>
      <c r="R45" s="2"/>
    </row>
    <row r="46" spans="1:7" ht="15">
      <c r="A46" s="2"/>
      <c r="B46" s="2"/>
      <c r="C46" s="2"/>
      <c r="D46" s="2"/>
      <c r="E46" s="2"/>
      <c r="F46" s="2"/>
      <c r="G46" s="2"/>
    </row>
    <row r="47" spans="1:7" ht="15">
      <c r="A47" s="88">
        <v>1</v>
      </c>
      <c r="B47" s="2"/>
      <c r="C47" s="2" t="s">
        <v>221</v>
      </c>
      <c r="D47" s="2"/>
      <c r="E47" s="2"/>
      <c r="F47" s="2"/>
      <c r="G47" s="2"/>
    </row>
    <row r="48" spans="1:10" ht="15">
      <c r="A48" s="89">
        <v>2</v>
      </c>
      <c r="B48" s="2"/>
      <c r="C48" s="2" t="s">
        <v>129</v>
      </c>
      <c r="D48" s="2"/>
      <c r="E48" s="2"/>
      <c r="F48" s="2"/>
      <c r="G48" s="2"/>
      <c r="H48" s="2"/>
      <c r="J48" s="2"/>
    </row>
    <row r="49" spans="1:8" ht="15">
      <c r="A49" s="90">
        <v>3</v>
      </c>
      <c r="B49" s="2"/>
      <c r="C49" s="2" t="s">
        <v>128</v>
      </c>
      <c r="D49" s="2"/>
      <c r="E49" s="2"/>
      <c r="F49" s="2"/>
      <c r="G49" s="2"/>
      <c r="H49" s="2"/>
    </row>
    <row r="50" spans="1:11" ht="15">
      <c r="A50" s="2"/>
      <c r="B50" s="2"/>
      <c r="C50" s="2"/>
      <c r="D50" s="2"/>
      <c r="E50" s="2"/>
      <c r="F50" s="2"/>
      <c r="G50" s="2"/>
      <c r="H50" s="2"/>
      <c r="I50" s="2"/>
      <c r="J50" s="8"/>
      <c r="K50" s="8"/>
    </row>
    <row r="51" spans="1:8" ht="15">
      <c r="A51" s="6" t="s">
        <v>14</v>
      </c>
      <c r="B51" s="9" t="s">
        <v>126</v>
      </c>
      <c r="C51" s="16" t="s">
        <v>334</v>
      </c>
      <c r="D51" s="44" t="s">
        <v>122</v>
      </c>
      <c r="E51" s="44" t="s">
        <v>42</v>
      </c>
      <c r="F51" s="44" t="s">
        <v>42</v>
      </c>
      <c r="G51" s="236" t="s">
        <v>135</v>
      </c>
      <c r="H51" s="237"/>
    </row>
    <row r="52" spans="1:14" ht="15">
      <c r="A52" s="3" t="s">
        <v>24</v>
      </c>
      <c r="B52" s="10" t="s">
        <v>127</v>
      </c>
      <c r="C52" s="13" t="s">
        <v>220</v>
      </c>
      <c r="D52" s="125"/>
      <c r="E52" s="13" t="s">
        <v>61</v>
      </c>
      <c r="F52" s="13" t="s">
        <v>62</v>
      </c>
      <c r="G52" s="234" t="s">
        <v>136</v>
      </c>
      <c r="H52" s="235"/>
      <c r="J52" s="135" t="s">
        <v>349</v>
      </c>
      <c r="K52" s="30"/>
      <c r="L52" s="30"/>
      <c r="M52" s="30"/>
      <c r="N52" s="17" t="s">
        <v>186</v>
      </c>
    </row>
    <row r="53" spans="1:14" ht="18">
      <c r="A53" s="5"/>
      <c r="B53" s="32"/>
      <c r="C53" s="13"/>
      <c r="D53" s="13" t="s">
        <v>167</v>
      </c>
      <c r="E53" s="13" t="s">
        <v>21</v>
      </c>
      <c r="F53" s="13" t="s">
        <v>63</v>
      </c>
      <c r="G53" s="58"/>
      <c r="H53" s="207"/>
      <c r="J53" s="34"/>
      <c r="K53" s="35"/>
      <c r="L53" s="35"/>
      <c r="M53" s="35"/>
      <c r="N53" s="136" t="s">
        <v>167</v>
      </c>
    </row>
    <row r="54" spans="1:14" ht="15">
      <c r="A54" s="9" t="s">
        <v>25</v>
      </c>
      <c r="B54" s="9">
        <f>Beregninger!B75</f>
        <v>2</v>
      </c>
      <c r="C54" s="42">
        <f>IF(Beregninger!Q63="-","-",Beregninger!P63)</f>
        <v>0.34353</v>
      </c>
      <c r="D54" s="42">
        <f>IF(Beregninger!Q63="-","-",Beregninger!$E$31+Beregninger!M51/Beregninger!P63)</f>
        <v>0.8574068290978953</v>
      </c>
      <c r="E54" s="83">
        <f>Beregninger!J75</f>
        <v>59.99929558963734</v>
      </c>
      <c r="F54" s="87">
        <f>Beregninger!K75</f>
        <v>200.00234806210884</v>
      </c>
      <c r="G54" s="236" t="str">
        <f>IF(Beregninger!B63="-",Beregninger!$B$61,IF(Beregninger!C63="-",Beregninger!$C$61,IF(Beregninger!K63="-","Trapezplade",IF(Beregninger!L63="-","Trapezplade",IF(MIN(Beregninger!M63:O63)=Beregninger!P63,"Brandkrav",Beregninger!S63)))))</f>
        <v>Deformation</v>
      </c>
      <c r="H54" s="237"/>
      <c r="I54" s="2"/>
      <c r="J54" s="32" t="str">
        <f>C21</f>
        <v>Trapezplade, TF30, underpap, pap</v>
      </c>
      <c r="K54" s="8"/>
      <c r="L54" s="8"/>
      <c r="M54" s="8"/>
      <c r="N54" s="22">
        <f>Laster!E6</f>
        <v>0.19440000000000002</v>
      </c>
    </row>
    <row r="55" spans="1:14" ht="15">
      <c r="A55" s="10" t="s">
        <v>26</v>
      </c>
      <c r="B55" s="10">
        <f>Beregninger!B76</f>
        <v>2</v>
      </c>
      <c r="C55" s="15">
        <f>IF(Beregninger!Q64="-","-",Beregninger!P64)</f>
        <v>0.45537</v>
      </c>
      <c r="D55" s="15">
        <f>IF(Beregninger!Q64="-","-",Beregninger!$E$31+Beregninger!M52/Beregninger!P64)</f>
        <v>0.8597909128840283</v>
      </c>
      <c r="E55" s="38">
        <f>Beregninger!J76</f>
        <v>59.99939930715902</v>
      </c>
      <c r="F55" s="39">
        <f>Beregninger!K76</f>
        <v>200.00200232951636</v>
      </c>
      <c r="G55" s="234" t="str">
        <f>IF(Beregninger!B64="-",Beregninger!$B$61,IF(Beregninger!C64="-",Beregninger!$C$61,IF(Beregninger!K64="-","Trapezplade",IF(Beregninger!L64="-","Trapezplade",IF(MIN(Beregninger!M64:O64)=Beregninger!P64,"Brandkrav",Beregninger!S64)))))</f>
        <v>Deformation</v>
      </c>
      <c r="H55" s="235"/>
      <c r="I55" s="2"/>
      <c r="J55" s="32" t="s">
        <v>193</v>
      </c>
      <c r="K55" s="8"/>
      <c r="L55" s="8"/>
      <c r="M55" s="8"/>
      <c r="N55" s="18">
        <f>Laster!E4</f>
        <v>0.13999999999999999</v>
      </c>
    </row>
    <row r="56" spans="1:14" ht="15">
      <c r="A56" s="10" t="s">
        <v>27</v>
      </c>
      <c r="B56" s="10">
        <f>Beregninger!B77</f>
        <v>2</v>
      </c>
      <c r="C56" s="15">
        <f>IF(Beregninger!Q65="-","-",Beregninger!P65)</f>
        <v>0.84998</v>
      </c>
      <c r="D56" s="15">
        <f>IF(Beregninger!Q65="-","-",Beregninger!$E$31+Beregninger!M53/Beregninger!P65)</f>
        <v>0.642343029247747</v>
      </c>
      <c r="E56" s="38">
        <f>Beregninger!J77</f>
        <v>59.99943553330454</v>
      </c>
      <c r="F56" s="39">
        <f>Beregninger!K77</f>
        <v>200.00188157335296</v>
      </c>
      <c r="G56" s="234" t="str">
        <f>IF(Beregninger!B65="-",Beregninger!$B$61,IF(Beregninger!C65="-",Beregninger!$C$61,IF(Beregninger!K65="-","Trapezplade",IF(Beregninger!L65="-","Trapezplade",IF(MIN(Beregninger!M65:O65)=Beregninger!P65,"Brandkrav",Beregninger!S65)))))</f>
        <v>Deformation</v>
      </c>
      <c r="H56" s="235"/>
      <c r="I56" s="2"/>
      <c r="J56" s="50" t="s">
        <v>181</v>
      </c>
      <c r="K56" s="125"/>
      <c r="L56" s="125"/>
      <c r="M56" s="125"/>
      <c r="N56" s="18">
        <f>Laster!E5</f>
        <v>0.02</v>
      </c>
    </row>
    <row r="57" spans="1:14" ht="15">
      <c r="A57" s="10" t="s">
        <v>28</v>
      </c>
      <c r="B57" s="10">
        <f>Beregninger!B78</f>
        <v>2</v>
      </c>
      <c r="C57" s="15">
        <f>IF(Beregninger!Q66="-","-",Beregninger!P66)</f>
        <v>1.16681</v>
      </c>
      <c r="D57" s="15">
        <f>IF(Beregninger!Q66="-","-",Beregninger!$E$31+Beregninger!M54/Beregninger!P66)</f>
        <v>0.636843136414669</v>
      </c>
      <c r="E57" s="38">
        <f>Beregninger!J78</f>
        <v>59.999802314550784</v>
      </c>
      <c r="F57" s="39">
        <f>Beregninger!K78</f>
        <v>200.00065895366848</v>
      </c>
      <c r="G57" s="234" t="str">
        <f>IF(Beregninger!B66="-",Beregninger!$B$61,IF(Beregninger!C66="-",Beregninger!$C$61,IF(Beregninger!K66="-","Trapezplade",IF(Beregninger!L66="-","Trapezplade",IF(MIN(Beregninger!M66:O66)=Beregninger!P66,"Brandkrav",Beregninger!S66)))))</f>
        <v>Deformation</v>
      </c>
      <c r="H57" s="235"/>
      <c r="I57" s="2"/>
      <c r="J57" s="34" t="str">
        <f>C22</f>
        <v>TF20, trapezplade</v>
      </c>
      <c r="K57" s="35"/>
      <c r="L57" s="35"/>
      <c r="M57" s="35"/>
      <c r="N57" s="26">
        <f>Laster!E7</f>
        <v>0.09640000000000001</v>
      </c>
    </row>
    <row r="58" spans="1:9" ht="15">
      <c r="A58" s="10" t="s">
        <v>29</v>
      </c>
      <c r="B58" s="10">
        <f>Beregninger!B79</f>
        <v>1</v>
      </c>
      <c r="C58" s="15">
        <f>IF(Beregninger!Q67="-","-",Beregninger!P67)</f>
        <v>1.19652</v>
      </c>
      <c r="D58" s="15">
        <f>IF(Beregninger!Q67="-","-",Beregninger!$E$31+Beregninger!M55/Beregninger!P67)</f>
        <v>0.5965316166883964</v>
      </c>
      <c r="E58" s="38">
        <f>Beregninger!J79</f>
        <v>59.9996640029175</v>
      </c>
      <c r="F58" s="39">
        <f>Beregninger!K79</f>
        <v>200.00111999654692</v>
      </c>
      <c r="G58" s="234" t="str">
        <f>IF(Beregninger!B67="-",Beregninger!$B$61,IF(Beregninger!C67="-",Beregninger!$C$61,IF(Beregninger!K67="-","Trapezplade",IF(Beregninger!L67="-","Trapezplade",IF(MIN(Beregninger!M67:O67)=Beregninger!P67,"Brandkrav",Beregninger!S67)))))</f>
        <v>Deformation</v>
      </c>
      <c r="H58" s="235"/>
      <c r="I58" s="2"/>
    </row>
    <row r="59" spans="1:9" ht="15">
      <c r="A59" s="11" t="s">
        <v>30</v>
      </c>
      <c r="B59" s="11">
        <f>Beregninger!B80</f>
        <v>2</v>
      </c>
      <c r="C59" s="25">
        <f>IF(Beregninger!Q68="-","-",Beregninger!P68)</f>
        <v>1.55</v>
      </c>
      <c r="D59" s="25">
        <f>IF(Beregninger!Q68="-","-",Beregninger!$E$31+Beregninger!M56/Beregninger!P68)</f>
        <v>0.6007963819354838</v>
      </c>
      <c r="E59" s="86">
        <f>Beregninger!J80</f>
        <v>56.88509021629461</v>
      </c>
      <c r="F59" s="45">
        <f>Beregninger!K80</f>
        <v>210.95158598452264</v>
      </c>
      <c r="G59" s="240" t="str">
        <f>IF(Beregninger!B68="-",Beregninger!$B$61,IF(Beregninger!C68="-",Beregninger!$C$61,IF(Beregninger!K68="-","Trapezplade",IF(Beregninger!L68="-","Trapezplade",IF(MIN(Beregninger!M68:O68)=Beregninger!P68,"Brandkrav",Beregninger!S68)))))</f>
        <v>Trapezplade</v>
      </c>
      <c r="H59" s="241"/>
      <c r="I59" s="2"/>
    </row>
    <row r="60" spans="1:9" ht="15">
      <c r="A60" s="2"/>
      <c r="B60" s="2"/>
      <c r="C60" s="2"/>
      <c r="D60" s="2"/>
      <c r="F60" s="8"/>
      <c r="G60" s="8"/>
      <c r="H60" s="8"/>
      <c r="I60" s="8"/>
    </row>
    <row r="61" spans="1:11" ht="15">
      <c r="A61" s="80" t="s">
        <v>350</v>
      </c>
      <c r="B61" s="2"/>
      <c r="C61" s="2"/>
      <c r="D61" s="2"/>
      <c r="E61" s="2"/>
      <c r="F61" s="2"/>
      <c r="G61" s="2"/>
      <c r="H61" s="2"/>
      <c r="I61" s="2"/>
      <c r="J61" s="8"/>
      <c r="K61" s="8"/>
    </row>
    <row r="62" spans="1:11" ht="15">
      <c r="A62" s="2" t="s">
        <v>363</v>
      </c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5">
      <c r="A63" s="2" t="s">
        <v>351</v>
      </c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0" ht="1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2:10" ht="15">
      <c r="B65" s="2"/>
      <c r="C65" s="2"/>
      <c r="D65" s="2"/>
      <c r="E65" s="2"/>
      <c r="F65" s="2"/>
      <c r="G65" s="2"/>
      <c r="H65" s="2"/>
      <c r="I65" s="2"/>
      <c r="J65" s="2"/>
    </row>
    <row r="66" spans="2:10" ht="15">
      <c r="B66" s="2"/>
      <c r="C66" s="2"/>
      <c r="D66" s="2"/>
      <c r="E66" s="2"/>
      <c r="F66" s="2"/>
      <c r="G66" s="2"/>
      <c r="H66" s="2"/>
      <c r="I66" s="2"/>
      <c r="J66" s="2"/>
    </row>
    <row r="67" spans="1:10" ht="1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1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</sheetData>
  <sheetProtection/>
  <mergeCells count="32">
    <mergeCell ref="G51:H51"/>
    <mergeCell ref="G59:H59"/>
    <mergeCell ref="G55:H55"/>
    <mergeCell ref="G56:H56"/>
    <mergeCell ref="G57:H57"/>
    <mergeCell ref="G58:H58"/>
    <mergeCell ref="C25:E25"/>
    <mergeCell ref="C31:E31"/>
    <mergeCell ref="C29:E29"/>
    <mergeCell ref="C30:E30"/>
    <mergeCell ref="G52:H52"/>
    <mergeCell ref="G54:H54"/>
    <mergeCell ref="C26:E26"/>
    <mergeCell ref="C27:E27"/>
    <mergeCell ref="C28:E28"/>
    <mergeCell ref="C32:E32"/>
    <mergeCell ref="C14:E14"/>
    <mergeCell ref="C15:E15"/>
    <mergeCell ref="C17:E17"/>
    <mergeCell ref="C18:E18"/>
    <mergeCell ref="C16:E16"/>
    <mergeCell ref="C24:E24"/>
    <mergeCell ref="C19:E19"/>
    <mergeCell ref="C21:E21"/>
    <mergeCell ref="C37:E37"/>
    <mergeCell ref="C36:E36"/>
    <mergeCell ref="C33:E33"/>
    <mergeCell ref="C34:E34"/>
    <mergeCell ref="C35:E35"/>
    <mergeCell ref="C22:E22"/>
    <mergeCell ref="C20:E20"/>
    <mergeCell ref="C23:E23"/>
  </mergeCells>
  <conditionalFormatting sqref="I54:I59">
    <cfRule type="cellIs" priority="1" dxfId="0" operator="notEqual" stopIfTrue="1">
      <formula>"Spændvidde trapezplade OK"</formula>
    </cfRule>
  </conditionalFormatting>
  <conditionalFormatting sqref="B54:B59">
    <cfRule type="cellIs" priority="2" dxfId="5" operator="equal" stopIfTrue="1">
      <formula>1</formula>
    </cfRule>
    <cfRule type="cellIs" priority="3" dxfId="4" operator="equal" stopIfTrue="1">
      <formula>2</formula>
    </cfRule>
    <cfRule type="cellIs" priority="4" dxfId="3" operator="equal" stopIfTrue="1">
      <formula>3</formula>
    </cfRule>
  </conditionalFormatting>
  <dataValidations count="11">
    <dataValidation type="list" allowBlank="1" showInputMessage="1" showErrorMessage="1" sqref="C33 C23">
      <formula1>min</formula1>
    </dataValidation>
    <dataValidation type="list" allowBlank="1" showInputMessage="1" showErrorMessage="1" sqref="C34">
      <formula1>sikkerhedsklasse</formula1>
    </dataValidation>
    <dataValidation type="list" allowBlank="1" showInputMessage="1" showErrorMessage="1" sqref="C36">
      <formula1>uværdi</formula1>
    </dataValidation>
    <dataValidation type="list" allowBlank="1" showInputMessage="1" showErrorMessage="1" sqref="C35:E35">
      <formula1>kontrolkl</formula1>
    </dataValidation>
    <dataValidation type="list" allowBlank="1" showInputMessage="1" showErrorMessage="1" sqref="C37:E37">
      <formula1>bk</formula1>
    </dataValidation>
    <dataValidation type="list" allowBlank="1" showInputMessage="1" showErrorMessage="1" sqref="C31:E31">
      <formula1>skivekraft</formula1>
    </dataValidation>
    <dataValidation type="list" allowBlank="1" showInputMessage="1" showErrorMessage="1" sqref="C22:E22">
      <formula1>valgunder</formula1>
    </dataValidation>
    <dataValidation type="list" allowBlank="1" showInputMessage="1" showErrorMessage="1" sqref="C19">
      <formula1>terrænklasse</formula1>
    </dataValidation>
    <dataValidation type="list" allowBlank="1" showInputMessage="1" showErrorMessage="1" sqref="C17">
      <formula1>tag</formula1>
    </dataValidation>
    <dataValidation type="list" allowBlank="1" showInputMessage="1" showErrorMessage="1" sqref="C15">
      <formula1>understøtning</formula1>
    </dataValidation>
    <dataValidation type="list" allowBlank="1" showInputMessage="1" showErrorMessage="1" sqref="C21:E21">
      <formula1>valgover</formula1>
    </dataValidation>
  </dataValidations>
  <printOptions/>
  <pageMargins left="0.75" right="0.75" top="1" bottom="1" header="0.5" footer="0.5"/>
  <pageSetup horizontalDpi="600" verticalDpi="600" orientation="portrait" paperSize="9" r:id="rId4"/>
  <legacyDrawing r:id="rId3"/>
  <oleObjects>
    <oleObject progId="AutoCAD.Drawing.17" shapeId="244464" r:id="rId1"/>
    <oleObject progId="AutoCAD.Drawing.17" shapeId="24928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K55"/>
  <sheetViews>
    <sheetView zoomScale="75" zoomScaleNormal="75" zoomScalePageLayoutView="0" workbookViewId="0" topLeftCell="A1">
      <selection activeCell="E26" sqref="E26"/>
    </sheetView>
  </sheetViews>
  <sheetFormatPr defaultColWidth="9.140625" defaultRowHeight="12.75"/>
  <cols>
    <col min="1" max="1" width="9.421875" style="0" bestFit="1" customWidth="1"/>
    <col min="5" max="5" width="9.57421875" style="0" customWidth="1"/>
  </cols>
  <sheetData>
    <row r="2" spans="1:10" ht="19.5">
      <c r="A2" s="154" t="s">
        <v>358</v>
      </c>
      <c r="B2" s="2"/>
      <c r="C2" s="2"/>
      <c r="D2" s="2"/>
      <c r="F2" s="2"/>
      <c r="G2" s="2"/>
      <c r="H2" s="2"/>
      <c r="I2" s="2"/>
      <c r="J2" s="2"/>
    </row>
    <row r="3" spans="1:10" ht="15">
      <c r="A3" s="2"/>
      <c r="B3" s="2"/>
      <c r="C3" s="2"/>
      <c r="D3" s="2"/>
      <c r="F3" s="2"/>
      <c r="G3" s="2"/>
      <c r="H3" s="2"/>
      <c r="I3" s="2"/>
      <c r="J3" s="2"/>
    </row>
    <row r="4" spans="1:10" ht="15">
      <c r="A4" s="150" t="s">
        <v>12</v>
      </c>
      <c r="B4" s="2"/>
      <c r="C4" s="2"/>
      <c r="D4" s="2"/>
      <c r="E4" s="2"/>
      <c r="F4" s="2"/>
      <c r="G4" s="2"/>
      <c r="H4" s="2"/>
      <c r="I4" s="2"/>
      <c r="J4" s="2"/>
    </row>
    <row r="5" spans="1:10" ht="15">
      <c r="A5" s="29" t="s">
        <v>198</v>
      </c>
      <c r="B5" s="30"/>
      <c r="C5" s="30"/>
      <c r="D5" s="30"/>
      <c r="E5" s="174" t="str">
        <f>Beregninger!E15</f>
        <v>Middel (2)</v>
      </c>
      <c r="F5" s="31"/>
      <c r="G5" s="2"/>
      <c r="H5" s="2"/>
      <c r="I5" s="2"/>
      <c r="J5" s="2"/>
    </row>
    <row r="6" spans="1:10" ht="15">
      <c r="A6" s="32" t="s">
        <v>249</v>
      </c>
      <c r="B6" s="8"/>
      <c r="C6" s="8"/>
      <c r="D6" s="8"/>
      <c r="E6" s="176" t="str">
        <f>'Input &amp; Output'!C35</f>
        <v>Normal</v>
      </c>
      <c r="F6" s="33"/>
      <c r="G6" s="2"/>
      <c r="H6" s="2"/>
      <c r="I6" s="2"/>
      <c r="J6" s="2"/>
    </row>
    <row r="7" spans="1:10" ht="15">
      <c r="A7" s="32" t="s">
        <v>131</v>
      </c>
      <c r="B7" s="8"/>
      <c r="C7" s="8"/>
      <c r="D7" s="8"/>
      <c r="E7" s="32" t="str">
        <f>'Input &amp; Output'!C19</f>
        <v>Landbrugsland (II)</v>
      </c>
      <c r="F7" s="33"/>
      <c r="G7" s="2"/>
      <c r="H7" s="2"/>
      <c r="I7" s="2"/>
      <c r="J7" s="2"/>
    </row>
    <row r="8" spans="1:10" ht="15">
      <c r="A8" s="32" t="s">
        <v>150</v>
      </c>
      <c r="B8" s="8"/>
      <c r="C8" s="8"/>
      <c r="D8" s="8"/>
      <c r="E8" s="32" t="str">
        <f>'Input &amp; Output'!C17</f>
        <v>Fladt tag</v>
      </c>
      <c r="F8" s="33"/>
      <c r="G8" s="2"/>
      <c r="H8" s="2"/>
      <c r="I8" s="2"/>
      <c r="J8" s="2"/>
    </row>
    <row r="9" spans="1:10" ht="15">
      <c r="A9" s="32" t="s">
        <v>9</v>
      </c>
      <c r="B9" s="8"/>
      <c r="C9" s="8"/>
      <c r="D9" s="8"/>
      <c r="E9" s="32">
        <f>'Input &amp; Output'!C18</f>
        <v>2</v>
      </c>
      <c r="F9" s="33" t="s">
        <v>7</v>
      </c>
      <c r="G9" s="2"/>
      <c r="H9" s="2"/>
      <c r="I9" s="2"/>
      <c r="J9" s="2"/>
    </row>
    <row r="10" spans="1:10" ht="15">
      <c r="A10" s="32" t="s">
        <v>6</v>
      </c>
      <c r="B10" s="8"/>
      <c r="C10" s="8"/>
      <c r="D10" s="8"/>
      <c r="E10" s="171">
        <f>'Input &amp; Output'!C20</f>
        <v>10</v>
      </c>
      <c r="F10" s="33" t="s">
        <v>2</v>
      </c>
      <c r="G10" s="2"/>
      <c r="H10" s="2"/>
      <c r="I10" s="2"/>
      <c r="J10" s="2"/>
    </row>
    <row r="11" spans="1:10" ht="15">
      <c r="A11" s="32" t="s">
        <v>142</v>
      </c>
      <c r="B11" s="8"/>
      <c r="C11" s="8"/>
      <c r="D11" s="8"/>
      <c r="E11" s="106">
        <f>Beregninger!E11</f>
        <v>200</v>
      </c>
      <c r="F11" s="33" t="s">
        <v>5</v>
      </c>
      <c r="G11" s="2"/>
      <c r="H11" s="2"/>
      <c r="I11" s="2"/>
      <c r="J11" s="2"/>
    </row>
    <row r="12" spans="1:10" ht="15">
      <c r="A12" s="32" t="s">
        <v>137</v>
      </c>
      <c r="B12" s="8"/>
      <c r="C12" s="8"/>
      <c r="D12" s="8"/>
      <c r="E12" s="59" t="str">
        <f>'Input &amp; Output'!C37</f>
        <v>Intet krav</v>
      </c>
      <c r="F12" s="33"/>
      <c r="G12" s="2"/>
      <c r="H12" s="2"/>
      <c r="I12" s="2"/>
      <c r="J12" s="2"/>
    </row>
    <row r="13" spans="1:10" ht="15">
      <c r="A13" s="34" t="s">
        <v>144</v>
      </c>
      <c r="B13" s="35"/>
      <c r="C13" s="35"/>
      <c r="D13" s="35"/>
      <c r="E13" s="172" t="str">
        <f>'Input &amp; Output'!C36</f>
        <v>Intet krav</v>
      </c>
      <c r="F13" s="36">
        <f>IF(E13="Intet krav","","W/m2·K")</f>
      </c>
      <c r="G13" s="2"/>
      <c r="H13" s="2"/>
      <c r="I13" s="2"/>
      <c r="J13" s="2"/>
    </row>
    <row r="14" spans="7:10" ht="15">
      <c r="G14" s="2"/>
      <c r="H14" s="2"/>
      <c r="I14" s="2"/>
      <c r="J14" s="2"/>
    </row>
    <row r="15" spans="1:10" ht="15">
      <c r="A15" s="150" t="s">
        <v>222</v>
      </c>
      <c r="G15" s="2"/>
      <c r="H15" s="2"/>
      <c r="I15" s="2"/>
      <c r="J15" s="2"/>
    </row>
    <row r="16" spans="1:10" ht="15">
      <c r="A16" s="27" t="s">
        <v>230</v>
      </c>
      <c r="B16" s="8"/>
      <c r="C16" s="8"/>
      <c r="D16" s="8"/>
      <c r="E16" s="151"/>
      <c r="F16" s="8"/>
      <c r="G16" s="8"/>
      <c r="H16" s="8"/>
      <c r="I16" s="2"/>
      <c r="J16" s="2"/>
    </row>
    <row r="17" spans="1:10" ht="15">
      <c r="A17" s="29" t="str">
        <f>'Input &amp; Output'!J54</f>
        <v>Trapezplade, TF30, underpap, pap</v>
      </c>
      <c r="B17" s="30"/>
      <c r="C17" s="30"/>
      <c r="D17" s="30"/>
      <c r="E17" s="179">
        <f>'Input &amp; Output'!N54</f>
        <v>0.19440000000000002</v>
      </c>
      <c r="F17" s="31"/>
      <c r="G17" s="8"/>
      <c r="H17" s="8"/>
      <c r="I17" s="2"/>
      <c r="J17" s="2"/>
    </row>
    <row r="18" spans="1:10" ht="15">
      <c r="A18" s="32" t="str">
        <f>IF(E40="SD201","200 mm isolering",IF(E40="SD202","200 mm isolering",IF(E40="SD301","300 mm isolering",IF(E40="SD302","300 mm isolering",IF(E40="SD351","350 mm isolering",IF(E40="SD352","350 mm isolering","Isolering"))))))</f>
        <v>350 mm isolering</v>
      </c>
      <c r="B18" s="8"/>
      <c r="C18" s="8"/>
      <c r="D18" s="8"/>
      <c r="E18" s="168">
        <f>'Input &amp; Output'!N55</f>
        <v>0.13999999999999999</v>
      </c>
      <c r="F18" s="33"/>
      <c r="G18" s="8"/>
      <c r="H18" s="8"/>
      <c r="I18" s="8"/>
      <c r="J18" s="2"/>
    </row>
    <row r="19" spans="1:10" ht="15">
      <c r="A19" s="32" t="str">
        <f>'Input &amp; Output'!J56</f>
        <v>Dampspærre</v>
      </c>
      <c r="B19" s="8"/>
      <c r="C19" s="8"/>
      <c r="D19" s="8"/>
      <c r="E19" s="168">
        <f>'Input &amp; Output'!N56</f>
        <v>0.02</v>
      </c>
      <c r="F19" s="33"/>
      <c r="G19" s="8"/>
      <c r="H19" s="8"/>
      <c r="I19" s="8"/>
      <c r="J19" s="2"/>
    </row>
    <row r="20" spans="1:10" ht="15">
      <c r="A20" s="34" t="str">
        <f>'Input &amp; Output'!J57</f>
        <v>TF20, trapezplade</v>
      </c>
      <c r="B20" s="35"/>
      <c r="C20" s="35"/>
      <c r="D20" s="35"/>
      <c r="E20" s="180">
        <f>'Input &amp; Output'!N57</f>
        <v>0.09640000000000001</v>
      </c>
      <c r="F20" s="36"/>
      <c r="G20" s="8"/>
      <c r="H20" s="8"/>
      <c r="I20" s="8"/>
      <c r="J20" s="2"/>
    </row>
    <row r="21" spans="1:10" ht="18">
      <c r="A21" s="111" t="s">
        <v>122</v>
      </c>
      <c r="B21" s="35"/>
      <c r="C21" s="35"/>
      <c r="D21" s="35"/>
      <c r="E21" s="180">
        <f>SUM(E17:E20)</f>
        <v>0.4508000000000001</v>
      </c>
      <c r="F21" s="51" t="s">
        <v>10</v>
      </c>
      <c r="G21" s="8" t="s">
        <v>228</v>
      </c>
      <c r="H21" s="8"/>
      <c r="I21" s="8"/>
      <c r="J21" s="2"/>
    </row>
    <row r="22" spans="9:10" ht="15">
      <c r="I22" s="8"/>
      <c r="J22" s="2"/>
    </row>
    <row r="23" spans="1:10" ht="15">
      <c r="A23" s="28" t="s">
        <v>229</v>
      </c>
      <c r="I23" s="8"/>
      <c r="J23" s="8"/>
    </row>
    <row r="24" spans="1:10" ht="18">
      <c r="A24" s="29" t="s">
        <v>283</v>
      </c>
      <c r="B24" s="30"/>
      <c r="C24" s="30"/>
      <c r="D24" s="30"/>
      <c r="E24" s="77">
        <f>'Input &amp; Output'!C25</f>
        <v>0</v>
      </c>
      <c r="F24" s="76" t="s">
        <v>10</v>
      </c>
      <c r="I24" s="8"/>
      <c r="J24" s="8"/>
    </row>
    <row r="25" spans="1:10" ht="18">
      <c r="A25" s="32" t="s">
        <v>284</v>
      </c>
      <c r="B25" s="8"/>
      <c r="C25" s="8"/>
      <c r="D25" s="8"/>
      <c r="E25" s="108">
        <f>'Input &amp; Output'!C26</f>
        <v>0</v>
      </c>
      <c r="F25" s="46" t="s">
        <v>10</v>
      </c>
      <c r="I25" s="8"/>
      <c r="J25" s="8"/>
    </row>
    <row r="26" spans="1:10" ht="18">
      <c r="A26" s="32" t="s">
        <v>319</v>
      </c>
      <c r="B26" s="8"/>
      <c r="C26" s="8"/>
      <c r="D26" s="8"/>
      <c r="E26" s="108">
        <f>Beregninger!E32</f>
        <v>0.1</v>
      </c>
      <c r="F26" s="46" t="s">
        <v>10</v>
      </c>
      <c r="I26" s="8"/>
      <c r="J26" s="8"/>
    </row>
    <row r="27" spans="1:10" ht="18">
      <c r="A27" s="32" t="s">
        <v>68</v>
      </c>
      <c r="B27" s="8"/>
      <c r="C27" s="8"/>
      <c r="D27" s="8"/>
      <c r="E27" s="108">
        <f>Laster!E19</f>
        <v>0.7200000000000001</v>
      </c>
      <c r="F27" s="46" t="s">
        <v>10</v>
      </c>
      <c r="J27" s="8"/>
    </row>
    <row r="28" spans="1:10" ht="18">
      <c r="A28" s="32" t="s">
        <v>152</v>
      </c>
      <c r="B28" s="8"/>
      <c r="C28" s="8"/>
      <c r="D28" s="8"/>
      <c r="E28" s="108">
        <f>'Input &amp; Output'!C28</f>
        <v>0</v>
      </c>
      <c r="F28" s="46" t="s">
        <v>10</v>
      </c>
      <c r="G28" s="2"/>
      <c r="H28" s="2"/>
      <c r="J28" s="8"/>
    </row>
    <row r="29" spans="1:10" ht="18">
      <c r="A29" s="32" t="s">
        <v>98</v>
      </c>
      <c r="B29" s="8"/>
      <c r="C29" s="8"/>
      <c r="D29" s="8"/>
      <c r="E29" s="108">
        <f>Laster!E36</f>
        <v>0.8468244087185799</v>
      </c>
      <c r="F29" s="46" t="s">
        <v>10</v>
      </c>
      <c r="G29" s="8"/>
      <c r="H29" s="8"/>
      <c r="J29" s="8"/>
    </row>
    <row r="30" spans="1:10" ht="15">
      <c r="A30" s="32" t="s">
        <v>226</v>
      </c>
      <c r="B30" s="8"/>
      <c r="C30" s="8"/>
      <c r="D30" s="8"/>
      <c r="E30" s="32">
        <f>Laster!B66</f>
        <v>0.2</v>
      </c>
      <c r="F30" s="33" t="s">
        <v>48</v>
      </c>
      <c r="G30" s="8"/>
      <c r="H30" s="8"/>
      <c r="J30" s="8"/>
    </row>
    <row r="31" spans="1:10" ht="15">
      <c r="A31" s="32" t="s">
        <v>227</v>
      </c>
      <c r="B31" s="8"/>
      <c r="C31" s="8"/>
      <c r="D31" s="8"/>
      <c r="E31" s="32">
        <f>Laster!B67</f>
        <v>0.3</v>
      </c>
      <c r="F31" s="33" t="s">
        <v>48</v>
      </c>
      <c r="G31" s="8"/>
      <c r="H31" s="8"/>
      <c r="I31" s="2"/>
      <c r="J31" s="8"/>
    </row>
    <row r="32" spans="1:10" ht="18">
      <c r="A32" s="32" t="s">
        <v>223</v>
      </c>
      <c r="B32" s="8"/>
      <c r="C32" s="8"/>
      <c r="D32" s="8"/>
      <c r="E32" s="108">
        <f>Laster!E70</f>
        <v>0.42341220435928995</v>
      </c>
      <c r="F32" s="46" t="s">
        <v>10</v>
      </c>
      <c r="G32" s="8" t="s">
        <v>356</v>
      </c>
      <c r="H32" s="8"/>
      <c r="I32" s="8"/>
      <c r="J32" s="2"/>
    </row>
    <row r="33" spans="1:11" ht="18">
      <c r="A33" s="32" t="s">
        <v>224</v>
      </c>
      <c r="B33" s="8"/>
      <c r="C33" s="8"/>
      <c r="D33" s="8"/>
      <c r="E33" s="108">
        <f>Laster!E71</f>
        <v>-1.1855541722060117</v>
      </c>
      <c r="F33" s="46" t="s">
        <v>10</v>
      </c>
      <c r="G33" s="8" t="s">
        <v>356</v>
      </c>
      <c r="H33" s="8"/>
      <c r="I33" s="8"/>
      <c r="J33" s="8"/>
      <c r="K33" s="125"/>
    </row>
    <row r="34" spans="1:11" ht="15">
      <c r="A34" s="34" t="s">
        <v>216</v>
      </c>
      <c r="B34" s="35"/>
      <c r="C34" s="35"/>
      <c r="D34" s="35"/>
      <c r="E34" s="173">
        <f>Beregninger!E23</f>
        <v>5</v>
      </c>
      <c r="F34" s="51" t="s">
        <v>217</v>
      </c>
      <c r="G34" s="8"/>
      <c r="H34" s="8"/>
      <c r="I34" s="8"/>
      <c r="J34" s="8"/>
      <c r="K34" s="125"/>
    </row>
    <row r="35" spans="7:11" ht="15">
      <c r="G35" s="8"/>
      <c r="H35" s="8"/>
      <c r="I35" s="8"/>
      <c r="J35" s="8"/>
      <c r="K35" s="125"/>
    </row>
    <row r="36" spans="1:11" ht="15">
      <c r="A36" s="153" t="s">
        <v>58</v>
      </c>
      <c r="G36" s="8"/>
      <c r="H36" s="8"/>
      <c r="I36" s="8"/>
      <c r="J36" s="8"/>
      <c r="K36" s="125"/>
    </row>
    <row r="37" spans="1:11" ht="15">
      <c r="A37" s="29" t="s">
        <v>158</v>
      </c>
      <c r="B37" s="30"/>
      <c r="C37" s="30"/>
      <c r="D37" s="30"/>
      <c r="E37" s="29" t="str">
        <f>Beregninger!E10</f>
        <v>Simpelt understøttet</v>
      </c>
      <c r="F37" s="31"/>
      <c r="G37" s="8"/>
      <c r="H37" s="8"/>
      <c r="I37" s="8"/>
      <c r="J37" s="8"/>
      <c r="K37" s="125"/>
    </row>
    <row r="38" spans="1:11" ht="15">
      <c r="A38" s="32" t="s">
        <v>1</v>
      </c>
      <c r="B38" s="8"/>
      <c r="C38" s="8"/>
      <c r="D38" s="8"/>
      <c r="E38" s="171">
        <f>'Input &amp; Output'!C14</f>
        <v>12</v>
      </c>
      <c r="F38" s="33" t="s">
        <v>2</v>
      </c>
      <c r="G38" s="8"/>
      <c r="H38" s="8"/>
      <c r="I38" s="8"/>
      <c r="J38" s="8"/>
      <c r="K38" s="125"/>
    </row>
    <row r="39" spans="1:11" ht="15">
      <c r="A39" s="32" t="s">
        <v>261</v>
      </c>
      <c r="B39" s="8"/>
      <c r="C39" s="8"/>
      <c r="D39" s="8"/>
      <c r="E39" s="171">
        <f>IF(E37="Simpelt understøttet",E38,Beregninger!E5)</f>
        <v>12</v>
      </c>
      <c r="F39" s="33" t="s">
        <v>2</v>
      </c>
      <c r="G39" s="8"/>
      <c r="H39" s="8"/>
      <c r="I39" s="8"/>
      <c r="J39" s="8"/>
      <c r="K39" s="125"/>
    </row>
    <row r="40" spans="1:11" ht="15">
      <c r="A40" s="32" t="s">
        <v>225</v>
      </c>
      <c r="B40" s="8"/>
      <c r="C40" s="8"/>
      <c r="D40" s="8"/>
      <c r="E40" s="209" t="str">
        <f>IF('Input &amp; Output'!B54=1,'Input &amp; Output'!A54,IF('Input &amp; Output'!B55=1,'Input &amp; Output'!A55,IF('Input &amp; Output'!B56=1,'Input &amp; Output'!A56,IF('Input &amp; Output'!B57=1,'Input &amp; Output'!A57,IF('Input &amp; Output'!B58=1,'Input &amp; Output'!A58,IF('Input &amp; Output'!B59=1,'Input &amp; Output'!A59,"Fejl!"))))))</f>
        <v>SD351</v>
      </c>
      <c r="F40" s="33"/>
      <c r="G40" s="178">
        <f>IF(E42="-","Den valgte bjælketype overholder ikke kravene!","")</f>
      </c>
      <c r="H40" s="2"/>
      <c r="I40" s="8"/>
      <c r="J40" s="8"/>
      <c r="K40" s="125"/>
    </row>
    <row r="41" spans="1:11" ht="15">
      <c r="A41" s="32" t="s">
        <v>352</v>
      </c>
      <c r="B41" s="8"/>
      <c r="C41" s="8"/>
      <c r="D41" s="8"/>
      <c r="E41" s="168">
        <f>IF(E40="SD201",'Input &amp; Output'!C54,IF(E40="SD202",'Input &amp; Output'!C55,IF(E40="SD301",'Input &amp; Output'!C56,IF(E40="SD302",'Input &amp; Output'!C57,IF(E40="SD351",'Input &amp; Output'!C58,IF(E40="SD352",'Input &amp; Output'!C59,"Fejl"))))))</f>
        <v>1.19652</v>
      </c>
      <c r="F41" s="33" t="s">
        <v>2</v>
      </c>
      <c r="G41" s="2"/>
      <c r="H41" s="2"/>
      <c r="I41" s="8"/>
      <c r="J41" s="8"/>
      <c r="K41" s="125"/>
    </row>
    <row r="42" spans="1:11" ht="18">
      <c r="A42" s="32" t="s">
        <v>247</v>
      </c>
      <c r="B42" s="8"/>
      <c r="C42" s="8"/>
      <c r="D42" s="8"/>
      <c r="E42" s="108">
        <f>IF(E40="SD201",'Input &amp; Output'!D54,IF(E40="SD202",'Input &amp; Output'!D55,IF(E40="SD301",'Input &amp; Output'!D56,IF(E40="SD302",'Input &amp; Output'!D57,IF(E40="SD351",'Input &amp; Output'!D58,IF(E40="SD352",'Input &amp; Output'!D59,"Fejl"))))))</f>
        <v>0.5965316166883964</v>
      </c>
      <c r="F42" s="46" t="s">
        <v>10</v>
      </c>
      <c r="H42" s="2"/>
      <c r="I42" s="8"/>
      <c r="J42" s="8"/>
      <c r="K42" s="125"/>
    </row>
    <row r="43" spans="1:10" ht="15">
      <c r="A43" s="34" t="s">
        <v>272</v>
      </c>
      <c r="B43" s="149"/>
      <c r="C43" s="149"/>
      <c r="D43" s="149"/>
      <c r="E43" s="208" t="str">
        <f>'Input &amp; Output'!C23</f>
        <v>Nej</v>
      </c>
      <c r="F43" s="36"/>
      <c r="G43" s="2"/>
      <c r="H43" s="2"/>
      <c r="I43" s="2"/>
      <c r="J43" s="2"/>
    </row>
    <row r="44" ht="15">
      <c r="J44" s="2"/>
    </row>
    <row r="45" spans="9:10" ht="15">
      <c r="I45" s="2"/>
      <c r="J45" s="2"/>
    </row>
    <row r="46" spans="1:10" ht="1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7:10" ht="15">
      <c r="G49" s="2"/>
      <c r="H49" s="2"/>
      <c r="I49" s="2"/>
      <c r="J49" s="2"/>
    </row>
    <row r="50" spans="7:10" ht="15">
      <c r="G50" s="2"/>
      <c r="H50" s="2"/>
      <c r="I50" s="2"/>
      <c r="J50" s="2"/>
    </row>
    <row r="51" spans="7:10" ht="15">
      <c r="G51" s="2"/>
      <c r="H51" s="2"/>
      <c r="I51" s="2"/>
      <c r="J51" s="2"/>
    </row>
    <row r="52" spans="7:10" ht="15">
      <c r="G52" s="2"/>
      <c r="H52" s="2"/>
      <c r="I52" s="2"/>
      <c r="J52" s="2"/>
    </row>
    <row r="53" spans="7:10" ht="15">
      <c r="G53" s="2"/>
      <c r="H53" s="2"/>
      <c r="I53" s="2"/>
      <c r="J53" s="2"/>
    </row>
    <row r="54" spans="7:10" ht="15">
      <c r="G54" s="2"/>
      <c r="H54" s="2"/>
      <c r="I54" s="2"/>
      <c r="J54" s="2"/>
    </row>
    <row r="55" spans="1:10" ht="15">
      <c r="A55" s="2"/>
      <c r="B55" s="2"/>
      <c r="C55" s="2"/>
      <c r="D55" s="2"/>
      <c r="E55" s="2"/>
      <c r="F55" s="2"/>
      <c r="G55" s="2"/>
      <c r="H55" s="2"/>
      <c r="I55" s="2"/>
      <c r="J55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125"/>
  <sheetViews>
    <sheetView zoomScale="75" zoomScaleNormal="75" zoomScalePageLayoutView="0" workbookViewId="0" topLeftCell="A1">
      <selection activeCell="P33" sqref="P32:P33"/>
    </sheetView>
  </sheetViews>
  <sheetFormatPr defaultColWidth="9.140625" defaultRowHeight="12.75"/>
  <cols>
    <col min="1" max="1" width="10.00390625" style="0" customWidth="1"/>
    <col min="2" max="2" width="15.00390625" style="0" customWidth="1"/>
    <col min="3" max="3" width="9.421875" style="0" bestFit="1" customWidth="1"/>
    <col min="4" max="4" width="12.8515625" style="0" customWidth="1"/>
    <col min="5" max="5" width="9.00390625" style="0" customWidth="1"/>
    <col min="6" max="9" width="8.28125" style="0" customWidth="1"/>
    <col min="12" max="12" width="9.7109375" style="0" customWidth="1"/>
  </cols>
  <sheetData>
    <row r="2" spans="1:17" ht="15">
      <c r="A2" s="1" t="s">
        <v>122</v>
      </c>
      <c r="K2" s="28" t="s">
        <v>183</v>
      </c>
      <c r="L2" s="2"/>
      <c r="M2" s="2"/>
      <c r="N2" s="2"/>
      <c r="O2" s="2"/>
      <c r="P2" s="2"/>
      <c r="Q2" s="2"/>
    </row>
    <row r="3" spans="1:17" ht="15">
      <c r="A3" s="1"/>
      <c r="K3" s="2"/>
      <c r="L3" s="2"/>
      <c r="M3" s="2"/>
      <c r="N3" s="2"/>
      <c r="O3" s="2"/>
      <c r="P3" s="2"/>
      <c r="Q3" s="2"/>
    </row>
    <row r="4" spans="1:17" ht="15">
      <c r="A4" s="29" t="s">
        <v>180</v>
      </c>
      <c r="B4" s="30"/>
      <c r="C4" s="29"/>
      <c r="D4" s="31"/>
      <c r="E4" s="152">
        <f>0.4*0.35</f>
        <v>0.13999999999999999</v>
      </c>
      <c r="F4" s="31"/>
      <c r="G4" s="125"/>
      <c r="K4" s="2"/>
      <c r="L4" s="2"/>
      <c r="M4" s="2"/>
      <c r="N4" s="2"/>
      <c r="O4" s="2"/>
      <c r="P4" s="2"/>
      <c r="Q4" s="2"/>
    </row>
    <row r="5" spans="1:18" ht="15">
      <c r="A5" s="32" t="s">
        <v>181</v>
      </c>
      <c r="B5" s="8"/>
      <c r="C5" s="32"/>
      <c r="D5" s="33"/>
      <c r="E5" s="129">
        <f>0.02</f>
        <v>0.02</v>
      </c>
      <c r="F5" s="33"/>
      <c r="H5" s="2" t="s">
        <v>137</v>
      </c>
      <c r="K5" s="71" t="s">
        <v>184</v>
      </c>
      <c r="L5" s="133" t="s">
        <v>186</v>
      </c>
      <c r="M5" s="75" t="s">
        <v>185</v>
      </c>
      <c r="N5" s="75"/>
      <c r="O5" s="75"/>
      <c r="P5" s="75"/>
      <c r="Q5" s="75"/>
      <c r="R5" s="199"/>
    </row>
    <row r="6" spans="1:18" ht="15">
      <c r="A6" s="50" t="s">
        <v>187</v>
      </c>
      <c r="B6" s="8"/>
      <c r="C6" s="32">
        <f>IF('Input &amp; Output'!C21:E21=M6,1,IF('Input &amp; Output'!C21:E21=M7,2,IF('Input &amp; Output'!C21:E21=M8,3,IF('Input &amp; Output'!C21:E21=M9,4))))</f>
        <v>1</v>
      </c>
      <c r="D6" s="33"/>
      <c r="E6" s="129">
        <f>IF(C6=1,L6,IF(C6=2,L7,IF(C6=3,L8,IF(C6=4,L9,"-"))))</f>
        <v>0.19440000000000002</v>
      </c>
      <c r="F6" s="33"/>
      <c r="K6" s="6">
        <v>1</v>
      </c>
      <c r="L6" s="123">
        <f>0.0604+1.8*30*10^-3+2*0.04</f>
        <v>0.19440000000000002</v>
      </c>
      <c r="M6" s="29" t="s">
        <v>344</v>
      </c>
      <c r="N6" s="30"/>
      <c r="O6" s="30"/>
      <c r="P6" s="30"/>
      <c r="Q6" s="30"/>
      <c r="R6" s="92"/>
    </row>
    <row r="7" spans="1:18" ht="15">
      <c r="A7" s="32" t="s">
        <v>188</v>
      </c>
      <c r="B7" s="8"/>
      <c r="C7" s="32">
        <f>IF('Input &amp; Output'!C22:E22=M14,1,IF('Input &amp; Output'!C22:E22=M15,2,IF('Input &amp; Output'!C22:E22=M16,3,IF('Input &amp; Output'!C22:E22=M17,4,IF('Input &amp; Output'!C22:E22=M18,5)))))</f>
        <v>2</v>
      </c>
      <c r="D7" s="33"/>
      <c r="E7" s="129">
        <f>IF(C7=1,L14,IF(C7=2,L15,IF(C7=3,L16,IF(C7=4,L17,IF(C7=5,L18,"-")))))</f>
        <v>0.09640000000000001</v>
      </c>
      <c r="F7" s="46"/>
      <c r="H7" t="b">
        <f>IF(Beregninger!E13=T13,IF(Laster!C7=Laster!K14,Laster!T14,IF(Laster!C7=Laster!K15,Laster!T15,IF(Laster!C7=Laster!K16,Laster!T16,IF(Laster!C7=Laster!K17,Laster!T17,IF(Laster!C7=Laster!K18,Laster!T18))))),IF(Beregninger!E13=U13,IF(Laster!C7=Laster!K14,Laster!U14,IF(Laster!C7=Laster!K15,Laster!U15,IF(Laster!C7=Laster!K16,Laster!U16,IF(Laster!C7=Laster!K17,Laster!U17,IF(Laster!C7=Laster!K18,Laster!U18))))),IF(Beregninger!E13=V13,IF(Laster!C7=Laster!K14,Laster!V14,IF(Laster!C7=Laster!K15,Laster!V15,IF(Laster!C7=Laster!K16,Laster!V16,IF(Laster!C7=Laster!K17,Laster!V17,IF(Laster!C7=Laster!K18,Laster!V18))))),IF(Beregninger!E13=W13,IF(Laster!C7=Laster!K14,Laster!W14,IF(Laster!C7=Laster!K15,Laster!W15,IF(Laster!C7=Laster!K16,Laster!W16,IF(Laster!C7=Laster!K17,Laster!W17,Laster!W18))))))))</f>
        <v>0</v>
      </c>
      <c r="K7" s="3">
        <v>2</v>
      </c>
      <c r="L7" s="124">
        <f>0.0604+0.04+0.1+2*0.04</f>
        <v>0.28040000000000004</v>
      </c>
      <c r="M7" s="32" t="s">
        <v>345</v>
      </c>
      <c r="N7" s="8"/>
      <c r="O7" s="8"/>
      <c r="P7" s="8"/>
      <c r="Q7" s="8"/>
      <c r="R7" s="93"/>
    </row>
    <row r="8" spans="1:18" ht="18">
      <c r="A8" s="34" t="s">
        <v>182</v>
      </c>
      <c r="B8" s="35"/>
      <c r="C8" s="34" t="s">
        <v>299</v>
      </c>
      <c r="D8" s="36"/>
      <c r="E8" s="131">
        <f>SUM(E4:E7)</f>
        <v>0.4508</v>
      </c>
      <c r="F8" s="51" t="s">
        <v>10</v>
      </c>
      <c r="K8" s="3">
        <v>3</v>
      </c>
      <c r="L8" s="124">
        <f>0.0604+1.8*30*10^-3+0.05</f>
        <v>0.1644</v>
      </c>
      <c r="M8" s="50" t="s">
        <v>346</v>
      </c>
      <c r="N8" s="8"/>
      <c r="O8" s="8"/>
      <c r="P8" s="125"/>
      <c r="Q8" s="8"/>
      <c r="R8" s="93"/>
    </row>
    <row r="9" spans="11:19" ht="15">
      <c r="K9" s="5">
        <v>4</v>
      </c>
      <c r="L9" s="5">
        <v>0</v>
      </c>
      <c r="M9" s="34" t="s">
        <v>347</v>
      </c>
      <c r="N9" s="35"/>
      <c r="O9" s="35"/>
      <c r="P9" s="35"/>
      <c r="Q9" s="35"/>
      <c r="R9" s="94"/>
      <c r="S9" s="125"/>
    </row>
    <row r="10" spans="1:9" ht="15">
      <c r="A10" s="1" t="s">
        <v>68</v>
      </c>
      <c r="B10" s="2"/>
      <c r="C10" s="2"/>
      <c r="D10" s="2"/>
      <c r="E10" s="2"/>
      <c r="F10" s="2"/>
      <c r="G10" s="2"/>
      <c r="H10" s="2"/>
      <c r="I10" s="2"/>
    </row>
    <row r="11" spans="1:20" ht="15">
      <c r="A11" s="2"/>
      <c r="B11" s="2"/>
      <c r="C11" s="2"/>
      <c r="D11" s="2"/>
      <c r="E11" s="2"/>
      <c r="F11" s="2"/>
      <c r="G11" s="2"/>
      <c r="H11" s="2"/>
      <c r="I11" s="2"/>
      <c r="K11" s="28" t="s">
        <v>189</v>
      </c>
      <c r="T11" s="2" t="s">
        <v>137</v>
      </c>
    </row>
    <row r="12" spans="1:19" ht="15">
      <c r="A12" s="29" t="s">
        <v>9</v>
      </c>
      <c r="B12" s="31"/>
      <c r="C12" s="30" t="s">
        <v>8</v>
      </c>
      <c r="D12" s="30"/>
      <c r="E12" s="29">
        <f>'Input &amp; Output'!C18</f>
        <v>2</v>
      </c>
      <c r="F12" s="31" t="s">
        <v>7</v>
      </c>
      <c r="G12" s="29"/>
      <c r="H12" s="30"/>
      <c r="I12" s="31"/>
      <c r="S12" s="125"/>
    </row>
    <row r="13" spans="1:23" ht="18">
      <c r="A13" s="32" t="s">
        <v>69</v>
      </c>
      <c r="B13" s="33"/>
      <c r="C13" s="8" t="s">
        <v>121</v>
      </c>
      <c r="D13" s="8"/>
      <c r="E13" s="32">
        <f>E14*E15</f>
        <v>0.9</v>
      </c>
      <c r="F13" s="46" t="s">
        <v>10</v>
      </c>
      <c r="G13" s="32"/>
      <c r="H13" s="8"/>
      <c r="I13" s="33"/>
      <c r="K13" s="71" t="s">
        <v>184</v>
      </c>
      <c r="L13" s="133" t="s">
        <v>186</v>
      </c>
      <c r="M13" s="192" t="s">
        <v>185</v>
      </c>
      <c r="N13" s="75"/>
      <c r="O13" s="75"/>
      <c r="P13" s="75"/>
      <c r="Q13" s="75"/>
      <c r="R13" s="199"/>
      <c r="S13" s="125"/>
      <c r="T13" s="71" t="s">
        <v>329</v>
      </c>
      <c r="U13" s="72" t="s">
        <v>138</v>
      </c>
      <c r="V13" s="72" t="s">
        <v>353</v>
      </c>
      <c r="W13" s="73" t="s">
        <v>139</v>
      </c>
    </row>
    <row r="14" spans="1:23" ht="16.5">
      <c r="A14" s="32" t="s">
        <v>70</v>
      </c>
      <c r="B14" s="33"/>
      <c r="C14" s="8" t="s">
        <v>76</v>
      </c>
      <c r="D14" s="8"/>
      <c r="E14" s="32">
        <v>1</v>
      </c>
      <c r="F14" s="47" t="s">
        <v>48</v>
      </c>
      <c r="G14" s="32" t="s">
        <v>71</v>
      </c>
      <c r="H14" s="8"/>
      <c r="I14" s="33"/>
      <c r="K14" s="9">
        <v>1</v>
      </c>
      <c r="L14" s="123">
        <v>0.0604</v>
      </c>
      <c r="M14" s="29" t="s">
        <v>148</v>
      </c>
      <c r="N14" s="30"/>
      <c r="O14" s="30"/>
      <c r="P14" s="30"/>
      <c r="Q14" s="30"/>
      <c r="R14" s="92"/>
      <c r="S14" s="125"/>
      <c r="T14" s="10" t="s">
        <v>354</v>
      </c>
      <c r="U14" s="13" t="s">
        <v>354</v>
      </c>
      <c r="V14" s="13" t="s">
        <v>355</v>
      </c>
      <c r="W14" s="206" t="s">
        <v>355</v>
      </c>
    </row>
    <row r="15" spans="1:23" ht="18">
      <c r="A15" s="32" t="s">
        <v>72</v>
      </c>
      <c r="B15" s="33"/>
      <c r="C15" s="48" t="s">
        <v>77</v>
      </c>
      <c r="D15" s="8"/>
      <c r="E15" s="32">
        <v>0.9</v>
      </c>
      <c r="F15" s="46" t="s">
        <v>10</v>
      </c>
      <c r="G15" s="32"/>
      <c r="H15" s="8"/>
      <c r="I15" s="33"/>
      <c r="K15" s="10">
        <v>2</v>
      </c>
      <c r="L15" s="124">
        <f>0.0604+1.8*20*10^-3</f>
        <v>0.09640000000000001</v>
      </c>
      <c r="M15" s="32" t="s">
        <v>270</v>
      </c>
      <c r="N15" s="8"/>
      <c r="O15" s="8"/>
      <c r="P15" s="8"/>
      <c r="Q15" s="8"/>
      <c r="R15" s="93"/>
      <c r="S15" s="125"/>
      <c r="T15" s="10" t="s">
        <v>354</v>
      </c>
      <c r="U15" s="13" t="s">
        <v>354</v>
      </c>
      <c r="V15" s="13" t="s">
        <v>354</v>
      </c>
      <c r="W15" s="206" t="s">
        <v>354</v>
      </c>
    </row>
    <row r="16" spans="1:23" ht="16.5">
      <c r="A16" s="32" t="s">
        <v>73</v>
      </c>
      <c r="B16" s="33"/>
      <c r="C16" s="8" t="s">
        <v>78</v>
      </c>
      <c r="D16" s="8"/>
      <c r="E16" s="32">
        <v>1</v>
      </c>
      <c r="F16" s="47" t="s">
        <v>48</v>
      </c>
      <c r="G16" s="32" t="s">
        <v>71</v>
      </c>
      <c r="H16" s="8"/>
      <c r="I16" s="33"/>
      <c r="K16" s="10">
        <v>3</v>
      </c>
      <c r="L16" s="124">
        <f>0.06+2*12.5*10^-3*9</f>
        <v>0.28500000000000003</v>
      </c>
      <c r="M16" s="32" t="s">
        <v>361</v>
      </c>
      <c r="N16" s="8"/>
      <c r="O16" s="8"/>
      <c r="P16" s="8"/>
      <c r="Q16" s="8"/>
      <c r="R16" s="93"/>
      <c r="S16" s="125"/>
      <c r="T16" s="10" t="s">
        <v>354</v>
      </c>
      <c r="U16" s="13" t="s">
        <v>355</v>
      </c>
      <c r="V16" s="13" t="s">
        <v>355</v>
      </c>
      <c r="W16" s="18" t="s">
        <v>355</v>
      </c>
    </row>
    <row r="17" spans="1:23" ht="16.5">
      <c r="A17" s="32" t="s">
        <v>74</v>
      </c>
      <c r="B17" s="33"/>
      <c r="C17" s="8" t="s">
        <v>79</v>
      </c>
      <c r="D17" s="8"/>
      <c r="E17" s="32">
        <v>1</v>
      </c>
      <c r="F17" s="49" t="s">
        <v>48</v>
      </c>
      <c r="G17" s="32" t="s">
        <v>71</v>
      </c>
      <c r="H17" s="8"/>
      <c r="I17" s="33"/>
      <c r="K17" s="4">
        <v>4</v>
      </c>
      <c r="L17" s="124">
        <f>L16+0.4*0.045</f>
        <v>0.30300000000000005</v>
      </c>
      <c r="M17" s="50" t="s">
        <v>362</v>
      </c>
      <c r="N17" s="8"/>
      <c r="O17" s="8"/>
      <c r="P17" s="8"/>
      <c r="Q17" s="8"/>
      <c r="R17" s="93"/>
      <c r="T17" s="4" t="s">
        <v>354</v>
      </c>
      <c r="U17" s="12" t="s">
        <v>355</v>
      </c>
      <c r="V17" s="12" t="s">
        <v>355</v>
      </c>
      <c r="W17" s="206" t="s">
        <v>355</v>
      </c>
    </row>
    <row r="18" spans="1:23" ht="16.5">
      <c r="A18" s="50" t="s">
        <v>75</v>
      </c>
      <c r="B18" s="33"/>
      <c r="C18" s="48" t="s">
        <v>80</v>
      </c>
      <c r="D18" s="8"/>
      <c r="E18" s="113">
        <f>IF(E12&lt;=30,0.8,IF(E12&lt;=60,0.8*((60-E12)/30),0))</f>
        <v>0.8</v>
      </c>
      <c r="F18" s="33" t="s">
        <v>48</v>
      </c>
      <c r="G18" s="32"/>
      <c r="H18" s="8"/>
      <c r="I18" s="33"/>
      <c r="K18" s="163">
        <v>5</v>
      </c>
      <c r="L18" s="5">
        <v>0</v>
      </c>
      <c r="M18" s="111" t="s">
        <v>347</v>
      </c>
      <c r="N18" s="35"/>
      <c r="O18" s="35"/>
      <c r="P18" s="35"/>
      <c r="Q18" s="35"/>
      <c r="R18" s="94"/>
      <c r="T18" s="11" t="s">
        <v>355</v>
      </c>
      <c r="U18" s="19" t="s">
        <v>355</v>
      </c>
      <c r="V18" s="19" t="s">
        <v>355</v>
      </c>
      <c r="W18" s="20" t="s">
        <v>355</v>
      </c>
    </row>
    <row r="19" spans="1:9" ht="18">
      <c r="A19" s="34" t="s">
        <v>68</v>
      </c>
      <c r="B19" s="36"/>
      <c r="C19" s="35" t="s">
        <v>202</v>
      </c>
      <c r="D19" s="35"/>
      <c r="E19" s="78">
        <f>E18*E16*E17*E13</f>
        <v>0.7200000000000001</v>
      </c>
      <c r="F19" s="51" t="s">
        <v>10</v>
      </c>
      <c r="G19" s="34"/>
      <c r="H19" s="35"/>
      <c r="I19" s="36"/>
    </row>
    <row r="21" spans="1:13" ht="15">
      <c r="A21" s="1" t="s">
        <v>51</v>
      </c>
      <c r="B21" s="2"/>
      <c r="C21" s="2"/>
      <c r="D21" s="8"/>
      <c r="E21" s="2"/>
      <c r="F21" s="2"/>
      <c r="G21" s="2"/>
      <c r="H21" s="2"/>
      <c r="I21" s="2"/>
      <c r="M21" s="114"/>
    </row>
    <row r="22" spans="1:9" ht="15">
      <c r="A22" s="2"/>
      <c r="B22" s="2"/>
      <c r="C22" s="2"/>
      <c r="D22" s="2"/>
      <c r="E22" s="2"/>
      <c r="F22" s="2"/>
      <c r="G22" s="2"/>
      <c r="H22" s="2"/>
      <c r="I22" s="2"/>
    </row>
    <row r="23" spans="1:9" ht="16.5">
      <c r="A23" s="53" t="s">
        <v>81</v>
      </c>
      <c r="B23" s="54"/>
      <c r="C23" s="53" t="s">
        <v>99</v>
      </c>
      <c r="D23" s="31"/>
      <c r="E23" s="55">
        <f>E24*E25*E26</f>
        <v>24</v>
      </c>
      <c r="F23" s="54" t="s">
        <v>82</v>
      </c>
      <c r="G23" s="53"/>
      <c r="H23" s="55"/>
      <c r="I23" s="54"/>
    </row>
    <row r="24" spans="1:9" ht="16.5">
      <c r="A24" s="56"/>
      <c r="B24" s="57" t="s">
        <v>83</v>
      </c>
      <c r="C24" s="56" t="s">
        <v>100</v>
      </c>
      <c r="D24" s="33"/>
      <c r="E24" s="58">
        <v>1</v>
      </c>
      <c r="F24" s="57" t="s">
        <v>48</v>
      </c>
      <c r="G24" s="56" t="s">
        <v>84</v>
      </c>
      <c r="H24" s="58"/>
      <c r="I24" s="57"/>
    </row>
    <row r="25" spans="1:9" ht="16.5">
      <c r="A25" s="56"/>
      <c r="B25" s="57" t="s">
        <v>70</v>
      </c>
      <c r="C25" s="56" t="s">
        <v>76</v>
      </c>
      <c r="D25" s="33"/>
      <c r="E25" s="58">
        <v>1</v>
      </c>
      <c r="F25" s="57" t="s">
        <v>48</v>
      </c>
      <c r="G25" s="56" t="s">
        <v>85</v>
      </c>
      <c r="H25" s="58"/>
      <c r="I25" s="57"/>
    </row>
    <row r="26" spans="1:9" ht="16.5">
      <c r="A26" s="56"/>
      <c r="B26" s="57" t="s">
        <v>86</v>
      </c>
      <c r="C26" s="56" t="s">
        <v>101</v>
      </c>
      <c r="D26" s="33"/>
      <c r="E26" s="58">
        <v>24</v>
      </c>
      <c r="F26" s="57" t="s">
        <v>82</v>
      </c>
      <c r="G26" s="59" t="s">
        <v>87</v>
      </c>
      <c r="H26" s="60"/>
      <c r="I26" s="61"/>
    </row>
    <row r="27" spans="1:9" ht="18.75">
      <c r="A27" s="56" t="s">
        <v>88</v>
      </c>
      <c r="B27" s="57"/>
      <c r="C27" s="56" t="s">
        <v>102</v>
      </c>
      <c r="D27" s="33"/>
      <c r="E27" s="189">
        <f>0.5*1.25*E23^2</f>
        <v>360</v>
      </c>
      <c r="F27" s="46" t="s">
        <v>103</v>
      </c>
      <c r="G27" s="56"/>
      <c r="H27" s="58"/>
      <c r="I27" s="57"/>
    </row>
    <row r="28" spans="1:9" ht="15">
      <c r="A28" s="56" t="s">
        <v>89</v>
      </c>
      <c r="B28" s="57"/>
      <c r="C28" s="56" t="s">
        <v>90</v>
      </c>
      <c r="D28" s="33"/>
      <c r="E28" s="58">
        <f>'Input &amp; Output'!C20</f>
        <v>10</v>
      </c>
      <c r="F28" s="57" t="s">
        <v>2</v>
      </c>
      <c r="G28" s="56"/>
      <c r="H28" s="58"/>
      <c r="I28" s="57"/>
    </row>
    <row r="29" spans="1:9" ht="15">
      <c r="A29" s="56" t="s">
        <v>91</v>
      </c>
      <c r="B29" s="57"/>
      <c r="C29" s="56"/>
      <c r="D29" s="33"/>
      <c r="E29" s="62" t="str">
        <f>IF('Input &amp; Output'!C19="Fladt landskab (I)","I",IF('Input &amp; Output'!C19="Landbrugsland (II)","II",IF('Input &amp; Output'!C19="Forstadsområde (III)","III",IF('Input &amp; Output'!C19="Industriområde (III)","III",IF('Input &amp; Output'!C19="Byområde (IV)","IV","II")))))</f>
        <v>II</v>
      </c>
      <c r="F29" s="57" t="s">
        <v>48</v>
      </c>
      <c r="G29" s="56"/>
      <c r="H29" s="60"/>
      <c r="I29" s="61"/>
    </row>
    <row r="30" spans="1:9" ht="16.5">
      <c r="A30" s="56"/>
      <c r="B30" s="57" t="s">
        <v>92</v>
      </c>
      <c r="C30" s="56" t="s">
        <v>214</v>
      </c>
      <c r="D30" s="33"/>
      <c r="E30" s="63">
        <f>0.19*(E31/0.05)^0.07</f>
        <v>0.19</v>
      </c>
      <c r="F30" s="57" t="s">
        <v>48</v>
      </c>
      <c r="G30" s="56"/>
      <c r="H30" s="58"/>
      <c r="I30" s="57"/>
    </row>
    <row r="31" spans="1:9" ht="16.5">
      <c r="A31" s="56"/>
      <c r="B31" s="57" t="s">
        <v>93</v>
      </c>
      <c r="C31" s="56" t="s">
        <v>104</v>
      </c>
      <c r="D31" s="33"/>
      <c r="E31" s="58">
        <f>IF(E29="I",0.01,IF(E29="II",0.05,IF(E29="III",0.3,IF(E29="IV",1,"Fejl!"))))</f>
        <v>0.05</v>
      </c>
      <c r="F31" s="57" t="s">
        <v>2</v>
      </c>
      <c r="G31" s="56"/>
      <c r="H31" s="58"/>
      <c r="I31" s="57"/>
    </row>
    <row r="32" spans="1:9" ht="16.5">
      <c r="A32" s="56"/>
      <c r="B32" s="57" t="s">
        <v>94</v>
      </c>
      <c r="C32" s="56" t="s">
        <v>105</v>
      </c>
      <c r="D32" s="33"/>
      <c r="E32" s="58">
        <f>IF(E29="I",1,IF(E29="II",2,IF(E29="III",5,IF(E29="IV",10,"Fejl!"))))</f>
        <v>2</v>
      </c>
      <c r="F32" s="57" t="s">
        <v>2</v>
      </c>
      <c r="G32" s="56"/>
      <c r="H32" s="58"/>
      <c r="I32" s="57"/>
    </row>
    <row r="33" spans="1:9" ht="16.5">
      <c r="A33" s="56" t="s">
        <v>95</v>
      </c>
      <c r="B33" s="57"/>
      <c r="C33" s="56" t="s">
        <v>215</v>
      </c>
      <c r="D33" s="33"/>
      <c r="E33" s="63">
        <f>IF(E28&gt;=E32,E30*LN(E28/E31),E30*LN(E32/E31))</f>
        <v>1.0066802996441269</v>
      </c>
      <c r="F33" s="57" t="s">
        <v>48</v>
      </c>
      <c r="G33" s="56"/>
      <c r="H33" s="58"/>
      <c r="I33" s="57"/>
    </row>
    <row r="34" spans="1:9" ht="18.75">
      <c r="A34" s="56" t="s">
        <v>96</v>
      </c>
      <c r="B34" s="57"/>
      <c r="C34" s="56" t="s">
        <v>106</v>
      </c>
      <c r="D34" s="33"/>
      <c r="E34" s="63">
        <f>E33^2*E27</f>
        <v>364.82588124897205</v>
      </c>
      <c r="F34" s="46" t="s">
        <v>103</v>
      </c>
      <c r="G34" s="56"/>
      <c r="H34" s="58"/>
      <c r="I34" s="57"/>
    </row>
    <row r="35" spans="1:9" ht="16.5">
      <c r="A35" s="56" t="s">
        <v>97</v>
      </c>
      <c r="B35" s="57"/>
      <c r="C35" s="32" t="s">
        <v>107</v>
      </c>
      <c r="D35" s="33"/>
      <c r="E35" s="63">
        <f>IF(E28&gt;=E32,1/LN(E28/E31),1/LN(E32/E31))</f>
        <v>0.18873916581775485</v>
      </c>
      <c r="F35" s="57" t="s">
        <v>48</v>
      </c>
      <c r="G35" s="56"/>
      <c r="H35" s="58"/>
      <c r="I35" s="57"/>
    </row>
    <row r="36" spans="1:9" ht="18">
      <c r="A36" s="64" t="s">
        <v>98</v>
      </c>
      <c r="B36" s="65"/>
      <c r="C36" s="64" t="s">
        <v>108</v>
      </c>
      <c r="D36" s="36"/>
      <c r="E36" s="184">
        <f>(1+7*E35)*E34*10^-3</f>
        <v>0.8468244087185799</v>
      </c>
      <c r="F36" s="51" t="s">
        <v>10</v>
      </c>
      <c r="G36" s="64"/>
      <c r="H36" s="66"/>
      <c r="I36" s="65"/>
    </row>
    <row r="37" spans="1:9" ht="15">
      <c r="A37" s="2"/>
      <c r="B37" s="2"/>
      <c r="C37" s="2"/>
      <c r="D37" s="2"/>
      <c r="E37" s="2"/>
      <c r="F37" s="2"/>
      <c r="G37" s="2"/>
      <c r="H37" s="2"/>
      <c r="I37" s="2"/>
    </row>
    <row r="38" spans="1:9" ht="15">
      <c r="A38" s="28" t="s">
        <v>109</v>
      </c>
      <c r="B38" s="2"/>
      <c r="C38" s="2"/>
      <c r="D38" s="2"/>
      <c r="E38" s="2"/>
      <c r="F38" s="8"/>
      <c r="G38" s="2"/>
      <c r="H38" s="2"/>
      <c r="I38" s="2"/>
    </row>
    <row r="39" spans="1:9" ht="15">
      <c r="A39" s="2"/>
      <c r="B39" s="2"/>
      <c r="C39" s="2"/>
      <c r="D39" s="2"/>
      <c r="E39" s="2"/>
      <c r="F39" s="2"/>
      <c r="G39" s="2"/>
      <c r="H39" s="2"/>
      <c r="I39" s="2"/>
    </row>
    <row r="40" spans="1:9" ht="15">
      <c r="A40" s="110" t="s">
        <v>9</v>
      </c>
      <c r="B40" s="30"/>
      <c r="C40" s="29" t="s">
        <v>8</v>
      </c>
      <c r="D40" s="31"/>
      <c r="E40" s="30">
        <f>'Input &amp; Output'!C18</f>
        <v>2</v>
      </c>
      <c r="F40" s="31" t="s">
        <v>7</v>
      </c>
      <c r="G40" s="8"/>
      <c r="H40" s="2"/>
      <c r="I40" s="2"/>
    </row>
    <row r="41" spans="1:9" ht="15">
      <c r="A41" s="111" t="s">
        <v>150</v>
      </c>
      <c r="B41" s="35"/>
      <c r="C41" s="34"/>
      <c r="D41" s="36"/>
      <c r="E41" s="112" t="str">
        <f>'Input &amp; Output'!C17</f>
        <v>Fladt tag</v>
      </c>
      <c r="F41" s="36"/>
      <c r="G41" s="8"/>
      <c r="H41" s="2"/>
      <c r="I41" s="2"/>
    </row>
    <row r="42" spans="1:9" ht="15">
      <c r="A42" s="2"/>
      <c r="B42" s="2"/>
      <c r="C42" s="2"/>
      <c r="D42" s="2"/>
      <c r="E42" s="2"/>
      <c r="F42" s="2"/>
      <c r="G42" s="8"/>
      <c r="H42" s="2"/>
      <c r="I42" s="2"/>
    </row>
    <row r="43" spans="1:9" ht="15">
      <c r="A43" s="67" t="s">
        <v>113</v>
      </c>
      <c r="B43" s="2"/>
      <c r="C43" s="2"/>
      <c r="D43" s="2"/>
      <c r="E43" s="62"/>
      <c r="F43" s="80"/>
      <c r="G43" s="8"/>
      <c r="H43" s="2"/>
      <c r="I43" s="2"/>
    </row>
    <row r="44" spans="1:9" ht="15">
      <c r="A44" s="29" t="s">
        <v>111</v>
      </c>
      <c r="B44" s="68">
        <v>0.2</v>
      </c>
      <c r="C44" s="2"/>
      <c r="D44" s="2" t="s">
        <v>317</v>
      </c>
      <c r="E44" s="2"/>
      <c r="F44" s="52"/>
      <c r="G44" s="8"/>
      <c r="H44" s="2"/>
      <c r="I44" s="2"/>
    </row>
    <row r="45" spans="1:9" ht="15">
      <c r="A45" s="34" t="s">
        <v>112</v>
      </c>
      <c r="B45" s="69">
        <v>-1.2</v>
      </c>
      <c r="C45" s="2"/>
      <c r="D45" s="2" t="s">
        <v>317</v>
      </c>
      <c r="E45" s="2"/>
      <c r="F45" s="52"/>
      <c r="G45" s="8"/>
      <c r="H45" s="2"/>
      <c r="I45" s="2"/>
    </row>
    <row r="46" spans="3:9" ht="15">
      <c r="C46" s="2"/>
      <c r="D46" s="2"/>
      <c r="E46" s="2"/>
      <c r="F46" s="52"/>
      <c r="G46" s="8"/>
      <c r="H46" s="2"/>
      <c r="I46" s="2"/>
    </row>
    <row r="47" spans="1:9" ht="15">
      <c r="A47" s="70" t="s">
        <v>114</v>
      </c>
      <c r="B47" s="2"/>
      <c r="C47" s="2"/>
      <c r="D47" s="2"/>
      <c r="E47" s="38"/>
      <c r="F47" s="12"/>
      <c r="G47" s="8"/>
      <c r="H47" s="2"/>
      <c r="I47" s="2"/>
    </row>
    <row r="48" spans="1:9" ht="15">
      <c r="A48" s="191" t="s">
        <v>320</v>
      </c>
      <c r="B48" s="71" t="s">
        <v>153</v>
      </c>
      <c r="C48" s="72" t="s">
        <v>110</v>
      </c>
      <c r="D48" s="72" t="s">
        <v>38</v>
      </c>
      <c r="E48" s="128" t="s">
        <v>318</v>
      </c>
      <c r="F48" s="13"/>
      <c r="G48" s="12"/>
      <c r="H48" s="2"/>
      <c r="I48" s="2"/>
    </row>
    <row r="49" spans="1:9" ht="15">
      <c r="A49" s="68" t="s">
        <v>111</v>
      </c>
      <c r="B49" s="82">
        <f>IF(E40&lt;=5,0,IF(E40&lt;=15,0-(E40-5)*((0-0.2)/(15-5)),IF(E40&lt;=30,0.2-(E40-15)*((0.2-0.7)/(30-15)),IF(E40&lt;=60,0.7,IF(E40&lt;=75,0.7-(E40-60)*((0.7-0.8)/(75-60)),0.8)))))</f>
        <v>0</v>
      </c>
      <c r="C49" s="83">
        <f>IF(E40&lt;=5,0,IF(E40&lt;=15,0-(E40-5)*((0-0.2)/(15-5)),IF(E40&lt;=30,0.2-(E40-15)*((0.2-0.4)/(30-15)),IF(E40&lt;=45,0.4-(E40-30)*((0.4-0.6)/(45-30)),IF(E40&lt;=60,0.6-(E40-45)*((0.6-0.7)/(60-45)),IF(E40&lt;=75,0.7-(E40-60)*((0.7-0.8)/(75-60)),0.8))))))</f>
        <v>0</v>
      </c>
      <c r="D49" s="83">
        <v>0</v>
      </c>
      <c r="E49" s="17">
        <f>IF(E40&lt;=5,0.2,0)</f>
        <v>0.2</v>
      </c>
      <c r="F49" s="81"/>
      <c r="G49" s="2"/>
      <c r="H49" s="2"/>
      <c r="I49" s="2"/>
    </row>
    <row r="50" spans="1:9" ht="15">
      <c r="A50" s="69" t="s">
        <v>112</v>
      </c>
      <c r="B50" s="85">
        <f>IF(E40&lt;=5,-1.2,IF(E40&lt;=15,-1.2-(E40-5)*((-1.2-(-0.8))/(15-5)),IF(E40&lt;=30,-0.8-(E40-15)*((-0.8-(-0.5))/(30-15)),IF(E40&lt;=45,-0.5-(E40-30)*((-0.5-0)/(45-30)),0))))</f>
        <v>-1.2</v>
      </c>
      <c r="C50" s="86">
        <f>IF(E40&lt;=5,-0.6,IF(E40&lt;=15,-0.6-(E40-5)*((-0.6-(-0.3))/(15-5)),IF(E40&lt;=30,-0.3-(E40-15)*((-0.3-(-0.2))/(30-15)),IF(E40&lt;=45,-0.2-(E40-30)*((-0.2-0)/(45-30)),0))))</f>
        <v>-0.6</v>
      </c>
      <c r="D50" s="86">
        <f>IF(E40&lt;=5,-0.6,IF(E40&lt;=15,-0.6-(E40-5)*((-0.6-(-0.4))/(15-5)),IF(E40&lt;=30,-0.4,IF(E40&lt;=45,-0.4-(E40-30)*((-0.4-(-0.2))/(45-30)),0))))</f>
        <v>-0.6</v>
      </c>
      <c r="E50" s="20">
        <f>IF(E40&lt;=5,-0.6,IF(E40&lt;=15,-0.6-(E40-5)*((-0.6-(-1))/(15-5)),IF(E40&lt;=30,-1-(E40-15)*((-1-(-0.5))/(30-15)),IF(E40&lt;=45,-0.5-(E40-30)*((-0.5-(-0.3))/(45-30)),-0.3))))</f>
        <v>-0.6</v>
      </c>
      <c r="F50" s="2"/>
      <c r="G50" s="2"/>
      <c r="H50" s="2"/>
      <c r="I50" s="2"/>
    </row>
    <row r="51" spans="1:9" ht="15">
      <c r="A51" s="48"/>
      <c r="B51" s="48"/>
      <c r="C51" s="48"/>
      <c r="D51" s="8"/>
      <c r="E51" s="38"/>
      <c r="F51" s="2"/>
      <c r="G51" s="2"/>
      <c r="H51" s="2"/>
      <c r="I51" s="2"/>
    </row>
    <row r="52" spans="1:9" ht="15">
      <c r="A52" s="191" t="s">
        <v>321</v>
      </c>
      <c r="B52" s="71" t="s">
        <v>153</v>
      </c>
      <c r="C52" s="72" t="s">
        <v>110</v>
      </c>
      <c r="D52" s="73" t="s">
        <v>38</v>
      </c>
      <c r="E52" s="2"/>
      <c r="F52" s="2"/>
      <c r="G52" s="2"/>
      <c r="H52" s="2"/>
      <c r="I52" s="2"/>
    </row>
    <row r="53" spans="1:9" ht="15">
      <c r="A53" s="68" t="s">
        <v>111</v>
      </c>
      <c r="B53" s="82">
        <v>0</v>
      </c>
      <c r="C53" s="83">
        <v>0</v>
      </c>
      <c r="D53" s="95">
        <v>0</v>
      </c>
      <c r="E53" s="2"/>
      <c r="F53" s="2"/>
      <c r="G53" s="2"/>
      <c r="H53" s="2"/>
      <c r="I53" s="2"/>
    </row>
    <row r="54" spans="1:9" ht="15">
      <c r="A54" s="69" t="s">
        <v>112</v>
      </c>
      <c r="B54" s="11">
        <f>IF(E40&lt;=15,-1.3,IF(E40&lt;=30,-1.3-(E40-15)*((-1.3-(-1.4))/(30-15)),IF(E40&lt;=45,-1.4,IF(E40&lt;=60,-1.4-(E40-45)*((-1.4-(-1.2))/(60-45)),-1.2))))</f>
        <v>-1.3</v>
      </c>
      <c r="C54" s="19">
        <f>IF(E40&lt;=5,-0.7,IF(E40&lt;=15,-0.7-(E40-5)*((-0.7-(-0.6))/(15-5)),IF(E40&lt;=30,-0.6-(E40-15)*((-0.6-(-0.8))/(30-15)),IF(E40&lt;=45,-0.8-(E40-30)*((-0.8-(-0.9))/(45-30)),IF(E40&lt;=60,-0.9-(E40-45)*((-0.9-(-0.8))/(60-45)),-0.8)))))</f>
        <v>-0.7</v>
      </c>
      <c r="D54" s="74">
        <f>IF(E40&lt;=5,-0.6,IF(E40&lt;=15,-0.6-(E40-5)*((-0.6-(-0.5))/(15-5)),-0.5))</f>
        <v>-0.6</v>
      </c>
      <c r="E54" s="2"/>
      <c r="F54" s="2"/>
      <c r="G54" s="2"/>
      <c r="H54" s="2"/>
      <c r="I54" s="2"/>
    </row>
    <row r="55" spans="5:9" ht="15">
      <c r="E55" s="2"/>
      <c r="F55" s="2"/>
      <c r="G55" s="2"/>
      <c r="H55" s="2"/>
      <c r="I55" s="2"/>
    </row>
    <row r="56" spans="1:9" ht="15">
      <c r="A56" s="67" t="s">
        <v>149</v>
      </c>
      <c r="E56" s="2"/>
      <c r="F56" s="2"/>
      <c r="G56" s="2"/>
      <c r="H56" s="2"/>
      <c r="I56" s="2"/>
    </row>
    <row r="57" spans="1:9" ht="15">
      <c r="A57" s="191" t="s">
        <v>322</v>
      </c>
      <c r="B57" s="71" t="s">
        <v>153</v>
      </c>
      <c r="C57" s="72" t="s">
        <v>110</v>
      </c>
      <c r="D57" s="73" t="s">
        <v>38</v>
      </c>
      <c r="E57" s="2"/>
      <c r="F57" s="2"/>
      <c r="G57" s="2"/>
      <c r="H57" s="2"/>
      <c r="I57" s="2"/>
    </row>
    <row r="58" spans="1:9" ht="15">
      <c r="A58" s="68" t="s">
        <v>111</v>
      </c>
      <c r="B58" s="82">
        <f>IF(E40&lt;=5,0,IF(E40&lt;=15,0-(E40-5)*((0-0.2)/(15-5)),IF(E40&lt;=30,0.2-(E40-15)*((0.2-0.7)/(30-15)),IF(E40&lt;=60,0.7,IF(E40&lt;=75,0.7-(E40-60)*((0.7-0.8)/(75-60)),0.8)))))</f>
        <v>0</v>
      </c>
      <c r="C58" s="83">
        <f>IF(E40&lt;=5,0,IF(E40&lt;=15,0-(E40-5)*((0-0.2)/(15-5)),IF(E40&lt;=30,0.2-(E40-15)*((0.2-0.4)/(30-15)),IF(E40&lt;=45,0.4-(E40-30)*((0.4-0.6)/(45-30)),IF(E40&lt;=60,0.6-(E40-45)*((0.6-0.7)/(60-45)),IF(E40&lt;=75,0.7-(E40-60)*((0.7-0.8)/(75-60)),0.8))))))</f>
        <v>0</v>
      </c>
      <c r="D58" s="95">
        <v>0</v>
      </c>
      <c r="E58" s="2"/>
      <c r="F58" s="2" t="s">
        <v>323</v>
      </c>
      <c r="G58" s="2"/>
      <c r="H58" s="2"/>
      <c r="I58" s="2"/>
    </row>
    <row r="59" spans="1:9" ht="15">
      <c r="A59" s="69" t="s">
        <v>112</v>
      </c>
      <c r="B59" s="85">
        <f>IF(E40&lt;=5,-1.8,IF(E40&lt;=15,-1.8-(E40-5)*((-1.8-(-1.9))/(15-5)),IF(E40&lt;=30,-1.9-(E40-15)*((-1.9-(-1.5))/(30-15)),IF(E40&lt;=45,-1.5-(E40-30)*((-1.5-(-1.4))/(45-30)),IF(E40&lt;=60,-1.4-(E40-45)*((-1.4-(-1.2))/(60-45)),-1.2)))))</f>
        <v>-1.8</v>
      </c>
      <c r="C59" s="86">
        <f>IF(E40&lt;=5,-0.6,IF(E40&lt;=15,-0.6-(E40-5)*((-0.6-(-0.8))/(15-5)),IF(E40&lt;=30,-0.8-(E40-15)*((-0.8-(-1))/(30-15)),-1)))</f>
        <v>-0.6</v>
      </c>
      <c r="D59" s="74">
        <f>IF(E40&lt;=5,-0.5,IF(E40&lt;=15,-0.5-(E40-5)*((-0.5-(-0.7))/(15-5)),IF(E40&lt;=30,-0.7-(E40-15)*((-0.7-(-0.8))/(30-15)),IF(E40&lt;=45,-0.8-(E40-30)*((-0.8-(-0.9))/(45-30)),IF(E40&lt;=60,-0.9-(E40-45)*((-0.9-(-0.7))/(60-45)),IF(E40&lt;=75,-0.7-(E40-60)*((-0.7-(-0.5))/(75-60)),-0.5))))))</f>
        <v>-0.5</v>
      </c>
      <c r="E59" s="2"/>
      <c r="F59" s="2" t="s">
        <v>324</v>
      </c>
      <c r="G59" s="2"/>
      <c r="H59" s="2"/>
      <c r="I59" s="2"/>
    </row>
    <row r="60" spans="1:9" ht="15">
      <c r="A60" s="8"/>
      <c r="B60" s="13"/>
      <c r="C60" s="13"/>
      <c r="D60" s="38"/>
      <c r="E60" s="2"/>
      <c r="F60" s="2"/>
      <c r="G60" s="2"/>
      <c r="H60" s="2"/>
      <c r="I60" s="2"/>
    </row>
    <row r="61" spans="1:9" ht="15">
      <c r="A61" s="191" t="s">
        <v>321</v>
      </c>
      <c r="B61" s="71" t="s">
        <v>153</v>
      </c>
      <c r="C61" s="72" t="s">
        <v>110</v>
      </c>
      <c r="D61" s="73" t="s">
        <v>38</v>
      </c>
      <c r="E61" s="2"/>
      <c r="F61" s="2"/>
      <c r="G61" s="2"/>
      <c r="H61" s="2"/>
      <c r="I61" s="2"/>
    </row>
    <row r="62" spans="1:9" ht="15">
      <c r="A62" s="68" t="s">
        <v>111</v>
      </c>
      <c r="B62" s="82">
        <v>0</v>
      </c>
      <c r="C62" s="83">
        <v>0</v>
      </c>
      <c r="D62" s="95">
        <v>0</v>
      </c>
      <c r="E62" s="2"/>
      <c r="F62" s="2"/>
      <c r="G62" s="2"/>
      <c r="H62" s="2"/>
      <c r="I62" s="2"/>
    </row>
    <row r="63" spans="1:9" ht="15">
      <c r="A63" s="69" t="s">
        <v>112</v>
      </c>
      <c r="B63" s="85">
        <f>IF(E40&lt;=5,-1.8,IF(E40&lt;=15,-1.8-(E40-5)*((-1.8-(-1.9))/(15-5)),IF(E40&lt;=30,-1.9-(E40-15)*((-1.9-(-1.5))/(30-15)),IF(E40&lt;=45,-1.5-(E40-30)*((-1.5-(-1.4))/(45-30)),IF(E40&lt;=60,-1.4-(E40-45)*((-1.4-(-1.2))/(60-45)),-1.2)))))</f>
        <v>-1.8</v>
      </c>
      <c r="C63" s="86">
        <f>IF(E40&lt;=5,-0.6,IF(E40&lt;=15,-0.6-(E40-5)*((-0.6-(-0.8))/(15-5)),IF(E40&lt;=30,-0.8-(E40-15)*((-0.8-(-1))/(30-15)),-1)))</f>
        <v>-0.6</v>
      </c>
      <c r="D63" s="74">
        <f>IF(E40&lt;=5,-0.5,IF(E40&lt;=15,-0.5-(E40-5)*((-0.5-(-0.7))/(15-5)),IF(E40&lt;=30,-0.7-(E40-15)*((-0.7-(-0.8))/(30-15)),IF(E40&lt;=45,-0.8-(E40-30)*((-0.8-(-0.9))/(45-30)),IF(E40&lt;=60,-0.9-(E40-45)*((-0.9-(-0.7))/(60-45)),IF(E40&lt;=75,-0.7-(E40-60)*((-0.7-(-0.5))/(75-60)),-0.5))))))</f>
        <v>-0.5</v>
      </c>
      <c r="E63" s="2"/>
      <c r="F63" s="2"/>
      <c r="G63" s="2"/>
      <c r="H63" s="2"/>
      <c r="I63" s="2"/>
    </row>
    <row r="64" spans="5:9" ht="15">
      <c r="E64" s="2"/>
      <c r="F64" s="2"/>
      <c r="G64" s="2"/>
      <c r="H64" s="2"/>
      <c r="I64" s="2"/>
    </row>
    <row r="65" spans="1:9" ht="15">
      <c r="A65" s="67" t="s">
        <v>115</v>
      </c>
      <c r="B65" s="2"/>
      <c r="E65" s="2"/>
      <c r="F65" s="2"/>
      <c r="G65" s="2"/>
      <c r="H65" s="2"/>
      <c r="I65" s="2"/>
    </row>
    <row r="66" spans="1:9" ht="15">
      <c r="A66" s="29" t="s">
        <v>116</v>
      </c>
      <c r="B66" s="6">
        <f>'Input &amp; Output'!C29</f>
        <v>0.2</v>
      </c>
      <c r="C66" s="2"/>
      <c r="D66" s="2"/>
      <c r="E66" s="2"/>
      <c r="F66" s="2"/>
      <c r="G66" s="2"/>
      <c r="H66" s="2"/>
      <c r="I66" s="2"/>
    </row>
    <row r="67" spans="1:9" ht="15">
      <c r="A67" s="34" t="s">
        <v>117</v>
      </c>
      <c r="B67" s="5">
        <f>'Input &amp; Output'!C30</f>
        <v>0.3</v>
      </c>
      <c r="C67" s="2"/>
      <c r="D67" s="2"/>
      <c r="E67" s="2"/>
      <c r="F67" s="2"/>
      <c r="G67" s="2"/>
      <c r="H67" s="2"/>
      <c r="I67" s="2"/>
    </row>
    <row r="68" spans="3:9" ht="15">
      <c r="C68" s="2"/>
      <c r="D68" s="2"/>
      <c r="E68" s="2"/>
      <c r="F68" s="2"/>
      <c r="G68" s="2"/>
      <c r="H68" s="2"/>
      <c r="I68" s="2"/>
    </row>
    <row r="69" spans="1:9" ht="15">
      <c r="A69" s="70" t="s">
        <v>51</v>
      </c>
      <c r="C69" s="2"/>
      <c r="D69" s="2"/>
      <c r="E69" s="2"/>
      <c r="F69" s="2"/>
      <c r="G69" s="2"/>
      <c r="H69" s="2"/>
      <c r="I69" s="2"/>
    </row>
    <row r="70" spans="1:9" ht="18">
      <c r="A70" s="29" t="s">
        <v>118</v>
      </c>
      <c r="B70" s="30"/>
      <c r="C70" s="30"/>
      <c r="D70" s="30"/>
      <c r="E70" s="77">
        <f>IF(E41="Fladt tag",(B44+B67)*E36,IF(E41="Sadeltag",(MAX(B49,C49,D49,E49,B53,C53,D53)+B67)*E36,IF(E41="Pulttag",(MAX(B58,C58,D58,B62,C62,D62)+B67)*E36)))</f>
        <v>0.42341220435928995</v>
      </c>
      <c r="F70" s="76" t="s">
        <v>10</v>
      </c>
      <c r="G70" s="2"/>
      <c r="H70" s="2"/>
      <c r="I70" s="2"/>
    </row>
    <row r="71" spans="1:9" ht="18">
      <c r="A71" s="34" t="s">
        <v>119</v>
      </c>
      <c r="B71" s="35"/>
      <c r="C71" s="35"/>
      <c r="D71" s="35"/>
      <c r="E71" s="78">
        <f>IF(E41="Fladt tag",(B45-B66)*E36,IF(E41="Sadeltag",(MIN(B50,C50,D50,E50,B54,C54,D54)-B66)*E36,IF(E41="Pulttag",(MIN(B59,C59,D59,B63,C63,D63)-B66)*E36)))</f>
        <v>-1.1855541722060117</v>
      </c>
      <c r="F71" s="51" t="s">
        <v>10</v>
      </c>
      <c r="G71" s="2"/>
      <c r="H71" s="2"/>
      <c r="I71" s="2"/>
    </row>
    <row r="72" spans="7:9" ht="15">
      <c r="G72" s="2"/>
      <c r="H72" s="2"/>
      <c r="I72" s="2"/>
    </row>
    <row r="73" spans="1:9" ht="15">
      <c r="A73" s="28" t="s">
        <v>132</v>
      </c>
      <c r="D73" s="28" t="s">
        <v>150</v>
      </c>
      <c r="G73" s="2"/>
      <c r="H73" s="2"/>
      <c r="I73" s="2"/>
    </row>
    <row r="75" spans="1:4" ht="15">
      <c r="A75" s="29" t="s">
        <v>274</v>
      </c>
      <c r="B75" s="92"/>
      <c r="D75" s="68" t="s">
        <v>113</v>
      </c>
    </row>
    <row r="76" spans="1:4" ht="15">
      <c r="A76" s="32" t="s">
        <v>275</v>
      </c>
      <c r="B76" s="93"/>
      <c r="D76" s="96" t="s">
        <v>149</v>
      </c>
    </row>
    <row r="77" spans="1:9" ht="15">
      <c r="A77" s="32" t="s">
        <v>278</v>
      </c>
      <c r="B77" s="93"/>
      <c r="C77" s="2"/>
      <c r="D77" s="69" t="s">
        <v>114</v>
      </c>
      <c r="E77" s="2"/>
      <c r="F77" s="2"/>
      <c r="G77" s="2"/>
      <c r="H77" s="2"/>
      <c r="I77" s="2"/>
    </row>
    <row r="78" spans="1:9" ht="15">
      <c r="A78" s="32" t="s">
        <v>276</v>
      </c>
      <c r="B78" s="93"/>
      <c r="C78" s="2"/>
      <c r="F78" s="2"/>
      <c r="G78" s="2"/>
      <c r="H78" s="2"/>
      <c r="I78" s="2"/>
    </row>
    <row r="79" spans="1:5" ht="15">
      <c r="A79" s="34" t="s">
        <v>277</v>
      </c>
      <c r="B79" s="94"/>
      <c r="D79" s="28" t="s">
        <v>137</v>
      </c>
      <c r="E79" s="2"/>
    </row>
    <row r="80" ht="15">
      <c r="D80" s="2"/>
    </row>
    <row r="81" spans="1:6" ht="15">
      <c r="A81" s="28" t="s">
        <v>144</v>
      </c>
      <c r="D81" s="68" t="s">
        <v>329</v>
      </c>
      <c r="E81" s="125"/>
      <c r="F81" s="125"/>
    </row>
    <row r="82" spans="1:4" ht="15">
      <c r="A82" s="2"/>
      <c r="D82" s="96" t="s">
        <v>138</v>
      </c>
    </row>
    <row r="83" spans="1:4" ht="15">
      <c r="A83" s="99">
        <v>0.05</v>
      </c>
      <c r="D83" s="205" t="s">
        <v>353</v>
      </c>
    </row>
    <row r="84" spans="1:4" ht="15">
      <c r="A84" s="100">
        <v>0.1</v>
      </c>
      <c r="D84" s="96" t="s">
        <v>139</v>
      </c>
    </row>
    <row r="85" spans="1:4" ht="15">
      <c r="A85" s="100">
        <v>0.15</v>
      </c>
      <c r="D85" s="69" t="s">
        <v>143</v>
      </c>
    </row>
    <row r="86" spans="1:4" ht="15">
      <c r="A86" s="100">
        <v>0.2</v>
      </c>
      <c r="D86" s="2"/>
    </row>
    <row r="87" spans="1:4" ht="15">
      <c r="A87" s="100">
        <v>0.25</v>
      </c>
      <c r="D87" s="117" t="s">
        <v>158</v>
      </c>
    </row>
    <row r="88" spans="1:4" ht="15">
      <c r="A88" s="100">
        <v>0.3</v>
      </c>
      <c r="D88" s="2"/>
    </row>
    <row r="89" spans="1:5" ht="15">
      <c r="A89" s="101" t="s">
        <v>143</v>
      </c>
      <c r="D89" s="110" t="s">
        <v>160</v>
      </c>
      <c r="E89" s="92"/>
    </row>
    <row r="90" spans="4:5" ht="15">
      <c r="D90" s="34" t="s">
        <v>159</v>
      </c>
      <c r="E90" s="94"/>
    </row>
    <row r="91" spans="1:4" ht="15">
      <c r="A91" s="28" t="s">
        <v>198</v>
      </c>
      <c r="D91" s="2"/>
    </row>
    <row r="92" spans="1:5" ht="15">
      <c r="A92" s="2"/>
      <c r="D92" s="144" t="s">
        <v>148</v>
      </c>
      <c r="E92" s="125"/>
    </row>
    <row r="93" spans="1:5" ht="15">
      <c r="A93" s="68" t="s">
        <v>199</v>
      </c>
      <c r="D93" s="8"/>
      <c r="E93" s="125"/>
    </row>
    <row r="94" spans="1:5" ht="15">
      <c r="A94" s="96" t="s">
        <v>200</v>
      </c>
      <c r="D94" s="145">
        <v>0.65</v>
      </c>
      <c r="E94" s="125"/>
    </row>
    <row r="95" spans="1:5" ht="15">
      <c r="A95" s="69" t="s">
        <v>201</v>
      </c>
      <c r="D95" s="146">
        <v>0.7</v>
      </c>
      <c r="E95" s="125"/>
    </row>
    <row r="96" spans="1:5" ht="15">
      <c r="A96" s="60"/>
      <c r="D96" s="147">
        <v>0.75</v>
      </c>
      <c r="E96" s="125"/>
    </row>
    <row r="97" spans="1:5" ht="15">
      <c r="A97" s="28" t="s">
        <v>169</v>
      </c>
      <c r="B97" s="8"/>
      <c r="D97" s="8"/>
      <c r="E97" s="125"/>
    </row>
    <row r="98" spans="1:5" ht="15">
      <c r="A98" s="143"/>
      <c r="B98" s="8"/>
      <c r="D98" s="27" t="s">
        <v>241</v>
      </c>
      <c r="E98" s="125"/>
    </row>
    <row r="99" spans="1:5" ht="15">
      <c r="A99" s="99">
        <v>1</v>
      </c>
      <c r="B99" s="8"/>
      <c r="D99" s="27"/>
      <c r="E99" s="125"/>
    </row>
    <row r="100" spans="1:5" ht="15">
      <c r="A100" s="101">
        <v>2</v>
      </c>
      <c r="B100" s="8"/>
      <c r="D100" s="68" t="s">
        <v>242</v>
      </c>
      <c r="E100" s="125"/>
    </row>
    <row r="101" spans="2:5" ht="15">
      <c r="B101" s="8"/>
      <c r="D101" s="101" t="s">
        <v>243</v>
      </c>
      <c r="E101" s="125"/>
    </row>
    <row r="102" spans="1:8" ht="15">
      <c r="A102" s="144" t="s">
        <v>216</v>
      </c>
      <c r="B102" s="8"/>
      <c r="F102" s="125"/>
      <c r="G102" s="125"/>
      <c r="H102" s="125"/>
    </row>
    <row r="103" spans="1:8" ht="15">
      <c r="A103" s="143"/>
      <c r="B103" s="8"/>
      <c r="D103" s="28" t="s">
        <v>249</v>
      </c>
      <c r="E103" s="8"/>
      <c r="F103" s="125"/>
      <c r="G103" s="125"/>
      <c r="H103" s="125"/>
    </row>
    <row r="104" spans="1:8" ht="15">
      <c r="A104" s="99">
        <v>0</v>
      </c>
      <c r="B104" s="8"/>
      <c r="D104" s="2"/>
      <c r="E104" s="8"/>
      <c r="F104" s="125"/>
      <c r="G104" s="125"/>
      <c r="H104" s="125"/>
    </row>
    <row r="105" spans="1:8" ht="15">
      <c r="A105" s="175">
        <v>5</v>
      </c>
      <c r="B105" s="8"/>
      <c r="D105" s="68" t="s">
        <v>251</v>
      </c>
      <c r="E105" s="8"/>
      <c r="F105" s="125"/>
      <c r="G105" s="125"/>
      <c r="H105" s="125"/>
    </row>
    <row r="106" spans="1:8" ht="15">
      <c r="A106" s="148">
        <v>10</v>
      </c>
      <c r="B106" s="8"/>
      <c r="D106" s="96" t="s">
        <v>250</v>
      </c>
      <c r="E106" s="8"/>
      <c r="F106" s="125"/>
      <c r="G106" s="125"/>
      <c r="H106" s="125"/>
    </row>
    <row r="107" spans="1:8" ht="15">
      <c r="A107" s="143"/>
      <c r="B107" s="8"/>
      <c r="D107" s="170" t="s">
        <v>252</v>
      </c>
      <c r="E107" s="125"/>
      <c r="F107" s="125"/>
      <c r="G107" s="125"/>
      <c r="H107" s="125"/>
    </row>
    <row r="108" spans="1:8" ht="15">
      <c r="A108" s="28" t="s">
        <v>225</v>
      </c>
      <c r="B108" s="8"/>
      <c r="D108" s="125"/>
      <c r="E108" s="125"/>
      <c r="F108" s="125"/>
      <c r="G108" s="125"/>
      <c r="H108" s="125"/>
    </row>
    <row r="109" spans="1:8" ht="15">
      <c r="A109" s="2"/>
      <c r="D109" s="117" t="s">
        <v>280</v>
      </c>
      <c r="E109" s="125"/>
      <c r="F109" s="125"/>
      <c r="G109" s="125"/>
      <c r="H109" s="125"/>
    </row>
    <row r="110" spans="1:7" ht="15">
      <c r="A110" s="68" t="s">
        <v>25</v>
      </c>
      <c r="D110" s="125"/>
      <c r="E110" s="125"/>
      <c r="F110" s="125"/>
      <c r="G110" s="125"/>
    </row>
    <row r="111" spans="1:7" ht="15">
      <c r="A111" s="96" t="s">
        <v>26</v>
      </c>
      <c r="D111" s="183" t="s">
        <v>242</v>
      </c>
      <c r="F111" s="125"/>
      <c r="G111" s="125"/>
    </row>
    <row r="112" spans="1:7" ht="15">
      <c r="A112" s="96" t="s">
        <v>27</v>
      </c>
      <c r="D112" s="170" t="s">
        <v>243</v>
      </c>
      <c r="F112" s="125"/>
      <c r="G112" s="125"/>
    </row>
    <row r="113" spans="1:7" ht="15">
      <c r="A113" s="96" t="s">
        <v>28</v>
      </c>
      <c r="F113" s="125"/>
      <c r="G113" s="125"/>
    </row>
    <row r="114" spans="1:7" ht="15">
      <c r="A114" s="96" t="s">
        <v>29</v>
      </c>
      <c r="F114" s="125"/>
      <c r="G114" s="125"/>
    </row>
    <row r="115" spans="1:7" ht="15">
      <c r="A115" s="69" t="s">
        <v>30</v>
      </c>
      <c r="F115" s="125"/>
      <c r="G115" s="125"/>
    </row>
    <row r="116" spans="6:7" ht="12.75">
      <c r="F116" s="125"/>
      <c r="G116" s="125"/>
    </row>
    <row r="117" spans="4:7" ht="15">
      <c r="D117" s="60"/>
      <c r="E117" s="125"/>
      <c r="F117" s="125"/>
      <c r="G117" s="125"/>
    </row>
    <row r="119" spans="1:2" ht="15">
      <c r="A119" s="143"/>
      <c r="B119" s="8"/>
    </row>
    <row r="120" spans="1:2" ht="15">
      <c r="A120" s="143"/>
      <c r="B120" s="8"/>
    </row>
    <row r="121" spans="1:2" ht="15">
      <c r="A121" s="143"/>
      <c r="B121" s="8"/>
    </row>
    <row r="122" spans="1:2" ht="15">
      <c r="A122" s="143"/>
      <c r="B122" s="125"/>
    </row>
    <row r="123" spans="1:2" ht="15">
      <c r="A123" s="143"/>
      <c r="B123" s="125"/>
    </row>
    <row r="124" spans="1:2" ht="15">
      <c r="A124" s="143"/>
      <c r="B124" s="125"/>
    </row>
    <row r="125" spans="1:2" ht="15">
      <c r="A125" s="60"/>
      <c r="B125" s="12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L269"/>
  <sheetViews>
    <sheetView zoomScale="75" zoomScaleNormal="75" zoomScalePageLayoutView="0" workbookViewId="0" topLeftCell="A40">
      <selection activeCell="N42" sqref="N42"/>
    </sheetView>
  </sheetViews>
  <sheetFormatPr defaultColWidth="9.140625" defaultRowHeight="12.75"/>
  <cols>
    <col min="1" max="1" width="16.28125" style="0" customWidth="1"/>
    <col min="2" max="2" width="14.00390625" style="0" customWidth="1"/>
    <col min="3" max="3" width="17.7109375" style="0" customWidth="1"/>
    <col min="4" max="4" width="19.140625" style="0" customWidth="1"/>
    <col min="5" max="5" width="14.421875" style="0" customWidth="1"/>
    <col min="6" max="6" width="16.00390625" style="0" customWidth="1"/>
    <col min="7" max="7" width="20.00390625" style="0" customWidth="1"/>
    <col min="8" max="8" width="18.7109375" style="0" customWidth="1"/>
    <col min="9" max="9" width="15.421875" style="0" customWidth="1"/>
    <col min="10" max="10" width="12.00390625" style="0" customWidth="1"/>
    <col min="11" max="11" width="13.8515625" style="0" customWidth="1"/>
    <col min="12" max="12" width="13.140625" style="0" customWidth="1"/>
    <col min="13" max="13" width="15.8515625" style="0" customWidth="1"/>
    <col min="14" max="14" width="13.57421875" style="0" customWidth="1"/>
    <col min="15" max="15" width="13.8515625" style="0" customWidth="1"/>
    <col min="16" max="16" width="12.57421875" style="0" bestFit="1" customWidth="1"/>
    <col min="17" max="19" width="12.57421875" style="0" customWidth="1"/>
    <col min="20" max="20" width="10.00390625" style="0" customWidth="1"/>
    <col min="21" max="21" width="12.7109375" style="0" customWidth="1"/>
    <col min="22" max="22" width="15.57421875" style="0" customWidth="1"/>
    <col min="23" max="23" width="13.00390625" style="0" customWidth="1"/>
    <col min="24" max="24" width="15.421875" style="0" customWidth="1"/>
    <col min="25" max="25" width="13.57421875" style="0" customWidth="1"/>
    <col min="26" max="26" width="15.421875" style="0" customWidth="1"/>
    <col min="27" max="27" width="13.8515625" style="0" customWidth="1"/>
    <col min="28" max="28" width="11.421875" style="0" customWidth="1"/>
    <col min="30" max="30" width="15.421875" style="0" bestFit="1" customWidth="1"/>
  </cols>
  <sheetData>
    <row r="2" spans="1:12" ht="15">
      <c r="A2" s="1" t="s">
        <v>13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6.5">
      <c r="A4" s="29" t="s">
        <v>1</v>
      </c>
      <c r="B4" s="31"/>
      <c r="C4" s="29" t="s">
        <v>326</v>
      </c>
      <c r="D4" s="30"/>
      <c r="E4" s="119">
        <f>'Input &amp; Output'!C14</f>
        <v>12</v>
      </c>
      <c r="F4" s="31" t="s">
        <v>2</v>
      </c>
      <c r="G4" s="29"/>
      <c r="H4" s="31"/>
      <c r="J4" s="8"/>
      <c r="K4" s="8"/>
      <c r="L4" s="8"/>
    </row>
    <row r="5" spans="1:12" ht="16.5">
      <c r="A5" s="32" t="s">
        <v>261</v>
      </c>
      <c r="B5" s="33"/>
      <c r="C5" s="8" t="s">
        <v>262</v>
      </c>
      <c r="D5" s="8"/>
      <c r="E5" s="171">
        <f>IF(E10="Simpelt understøttet",E4,IF(E10="Mellemunderstøttet",'Input &amp; Output'!C16))</f>
        <v>12</v>
      </c>
      <c r="F5" s="33" t="s">
        <v>2</v>
      </c>
      <c r="G5" s="32"/>
      <c r="H5" s="33"/>
      <c r="J5" s="8"/>
      <c r="K5" s="8"/>
      <c r="L5" s="8"/>
    </row>
    <row r="6" spans="1:12" ht="16.5">
      <c r="A6" s="32" t="s">
        <v>281</v>
      </c>
      <c r="B6" s="33"/>
      <c r="C6" s="8" t="s">
        <v>325</v>
      </c>
      <c r="D6" s="8"/>
      <c r="E6" s="171">
        <f>E5-E4</f>
        <v>0</v>
      </c>
      <c r="F6" s="33" t="s">
        <v>2</v>
      </c>
      <c r="G6" s="32" t="s">
        <v>282</v>
      </c>
      <c r="H6" s="33"/>
      <c r="J6" s="8"/>
      <c r="K6" s="8"/>
      <c r="L6" s="8"/>
    </row>
    <row r="7" spans="1:12" ht="16.5">
      <c r="A7" s="32" t="s">
        <v>336</v>
      </c>
      <c r="B7" s="33"/>
      <c r="C7" s="32" t="s">
        <v>337</v>
      </c>
      <c r="D7" s="8"/>
      <c r="E7" s="171">
        <v>0.3</v>
      </c>
      <c r="F7" s="33" t="s">
        <v>2</v>
      </c>
      <c r="G7" s="32"/>
      <c r="H7" s="33"/>
      <c r="J7" s="8"/>
      <c r="K7" s="8"/>
      <c r="L7" s="8"/>
    </row>
    <row r="8" spans="1:12" ht="15">
      <c r="A8" s="32" t="s">
        <v>148</v>
      </c>
      <c r="B8" s="33"/>
      <c r="C8" s="32" t="s">
        <v>48</v>
      </c>
      <c r="D8" s="8"/>
      <c r="E8" s="108">
        <v>0.65</v>
      </c>
      <c r="F8" s="33" t="s">
        <v>145</v>
      </c>
      <c r="G8" s="32"/>
      <c r="H8" s="33"/>
      <c r="J8" s="8"/>
      <c r="K8" s="8"/>
      <c r="L8" s="8"/>
    </row>
    <row r="9" spans="1:12" ht="15">
      <c r="A9" s="32" t="s">
        <v>169</v>
      </c>
      <c r="B9" s="33"/>
      <c r="C9" s="32" t="s">
        <v>48</v>
      </c>
      <c r="D9" s="8"/>
      <c r="E9" s="109">
        <v>1</v>
      </c>
      <c r="F9" s="33" t="s">
        <v>170</v>
      </c>
      <c r="G9" s="32"/>
      <c r="H9" s="33"/>
      <c r="J9" s="8"/>
      <c r="K9" s="8"/>
      <c r="L9" s="8"/>
    </row>
    <row r="10" spans="1:12" ht="15">
      <c r="A10" s="32" t="s">
        <v>161</v>
      </c>
      <c r="B10" s="33"/>
      <c r="C10" s="32" t="s">
        <v>48</v>
      </c>
      <c r="D10" s="8"/>
      <c r="E10" s="32" t="str">
        <f>'Input &amp; Output'!C15</f>
        <v>Simpelt understøttet</v>
      </c>
      <c r="F10" s="33"/>
      <c r="G10" s="32"/>
      <c r="H10" s="33"/>
      <c r="J10" s="8"/>
      <c r="K10" s="8"/>
      <c r="L10" s="8"/>
    </row>
    <row r="11" spans="1:12" ht="15">
      <c r="A11" s="32" t="s">
        <v>142</v>
      </c>
      <c r="B11" s="33"/>
      <c r="C11" s="32" t="s">
        <v>146</v>
      </c>
      <c r="D11" s="8"/>
      <c r="E11" s="32">
        <f>IF('Input &amp; Output'!C32="Intet krav",200,'Input &amp; Output'!C32)</f>
        <v>200</v>
      </c>
      <c r="F11" s="33" t="s">
        <v>5</v>
      </c>
      <c r="G11" s="32"/>
      <c r="H11" s="33"/>
      <c r="J11" s="8"/>
      <c r="K11" s="8"/>
      <c r="L11" s="8"/>
    </row>
    <row r="12" spans="1:20" ht="18.75">
      <c r="A12" s="32" t="s">
        <v>147</v>
      </c>
      <c r="B12" s="33"/>
      <c r="C12" s="32" t="s">
        <v>11</v>
      </c>
      <c r="D12" s="8"/>
      <c r="E12" s="32">
        <f>IF('Input &amp; Output'!C36="Intet krav",0.3,'Input &amp; Output'!C36)</f>
        <v>0.3</v>
      </c>
      <c r="F12" s="33" t="s">
        <v>65</v>
      </c>
      <c r="G12" s="32"/>
      <c r="H12" s="33"/>
      <c r="J12" s="8"/>
      <c r="K12" s="8"/>
      <c r="L12" s="8"/>
      <c r="T12" s="114"/>
    </row>
    <row r="13" spans="1:12" ht="15">
      <c r="A13" s="32" t="s">
        <v>137</v>
      </c>
      <c r="B13" s="33"/>
      <c r="C13" s="32"/>
      <c r="D13" s="8"/>
      <c r="E13" s="106" t="str">
        <f>IF('Input &amp; Output'!C37="Intet krav","Intet krav",'Input &amp; Output'!C37)</f>
        <v>Intet krav</v>
      </c>
      <c r="F13" s="33" t="s">
        <v>48</v>
      </c>
      <c r="G13" s="32"/>
      <c r="H13" s="33"/>
      <c r="J13" s="8"/>
      <c r="K13" s="8"/>
      <c r="L13" s="8"/>
    </row>
    <row r="14" spans="1:12" ht="15">
      <c r="A14" s="32" t="s">
        <v>45</v>
      </c>
      <c r="B14" s="33"/>
      <c r="C14" s="32" t="s">
        <v>46</v>
      </c>
      <c r="D14" s="8"/>
      <c r="E14" s="107">
        <f>2.1*10^5</f>
        <v>210000</v>
      </c>
      <c r="F14" s="33" t="s">
        <v>49</v>
      </c>
      <c r="G14" s="32"/>
      <c r="H14" s="33"/>
      <c r="J14" s="8"/>
      <c r="K14" s="8"/>
      <c r="L14" s="8"/>
    </row>
    <row r="15" spans="1:12" ht="15">
      <c r="A15" s="32" t="s">
        <v>198</v>
      </c>
      <c r="B15" s="33"/>
      <c r="C15" s="32"/>
      <c r="D15" s="8"/>
      <c r="E15" s="118" t="str">
        <f>'Input &amp; Output'!C34</f>
        <v>Middel (2)</v>
      </c>
      <c r="F15" s="33" t="s">
        <v>48</v>
      </c>
      <c r="G15" s="32"/>
      <c r="H15" s="33"/>
      <c r="J15" s="8"/>
      <c r="K15" s="8"/>
      <c r="L15" s="8"/>
    </row>
    <row r="16" spans="1:12" ht="16.5">
      <c r="A16" s="32" t="s">
        <v>47</v>
      </c>
      <c r="B16" s="33"/>
      <c r="C16" s="8" t="s">
        <v>253</v>
      </c>
      <c r="D16" s="8"/>
      <c r="E16" s="186">
        <f>IF(E15="Lav (1)",0.9,IF(E15="Middel (2)",1,IF(E15="Høj (3)",1.1)))</f>
        <v>1</v>
      </c>
      <c r="F16" s="33"/>
      <c r="G16" s="32" t="s">
        <v>244</v>
      </c>
      <c r="H16" s="33"/>
      <c r="J16" s="8"/>
      <c r="K16" s="8"/>
      <c r="L16" s="8"/>
    </row>
    <row r="17" spans="1:12" ht="15">
      <c r="A17" s="32" t="s">
        <v>249</v>
      </c>
      <c r="B17" s="33"/>
      <c r="C17" s="32"/>
      <c r="D17" s="8"/>
      <c r="E17" s="118" t="str">
        <f>'Input &amp; Output'!C35</f>
        <v>Normal</v>
      </c>
      <c r="F17" s="33"/>
      <c r="G17" s="32"/>
      <c r="H17" s="33"/>
      <c r="J17" s="8"/>
      <c r="K17" s="8"/>
      <c r="L17" s="8"/>
    </row>
    <row r="18" spans="1:12" ht="16.5">
      <c r="A18" s="32" t="s">
        <v>47</v>
      </c>
      <c r="B18" s="33"/>
      <c r="C18" s="32" t="s">
        <v>203</v>
      </c>
      <c r="D18" s="8"/>
      <c r="E18" s="187">
        <f>IF(E17="Skærpet",0.95,IF(E17="Normal",1,IF(E17="Lempet",1.1)))</f>
        <v>1</v>
      </c>
      <c r="F18" s="33" t="s">
        <v>48</v>
      </c>
      <c r="G18" s="32" t="s">
        <v>254</v>
      </c>
      <c r="H18" s="33"/>
      <c r="J18" s="8"/>
      <c r="K18" s="8"/>
      <c r="L18" s="8"/>
    </row>
    <row r="19" spans="1:31" ht="16.5">
      <c r="A19" s="32" t="s">
        <v>47</v>
      </c>
      <c r="B19" s="33"/>
      <c r="C19" s="32" t="s">
        <v>239</v>
      </c>
      <c r="D19" s="8"/>
      <c r="E19" s="108">
        <f>1.1*E18</f>
        <v>1.1</v>
      </c>
      <c r="F19" s="33" t="s">
        <v>48</v>
      </c>
      <c r="G19" s="32" t="s">
        <v>238</v>
      </c>
      <c r="H19" s="33"/>
      <c r="J19" s="8"/>
      <c r="K19" s="8"/>
      <c r="L19" s="8"/>
      <c r="T19" s="125"/>
      <c r="U19" s="8"/>
      <c r="V19" s="8"/>
      <c r="W19" s="8"/>
      <c r="X19" s="125"/>
      <c r="Y19" s="125"/>
      <c r="Z19" s="125"/>
      <c r="AA19" s="125"/>
      <c r="AB19" s="125"/>
      <c r="AC19" s="125"/>
      <c r="AD19" s="125"/>
      <c r="AE19" s="125"/>
    </row>
    <row r="20" spans="1:31" ht="16.5">
      <c r="A20" s="32" t="s">
        <v>47</v>
      </c>
      <c r="B20" s="33"/>
      <c r="C20" s="32" t="s">
        <v>259</v>
      </c>
      <c r="D20" s="8"/>
      <c r="E20" s="108">
        <f>1.35*E18</f>
        <v>1.35</v>
      </c>
      <c r="F20" s="33"/>
      <c r="G20" s="32" t="s">
        <v>240</v>
      </c>
      <c r="H20" s="33"/>
      <c r="J20" s="8"/>
      <c r="K20" s="8"/>
      <c r="L20" s="8"/>
      <c r="T20" s="125"/>
      <c r="U20" s="8"/>
      <c r="V20" s="8"/>
      <c r="W20" s="8"/>
      <c r="X20" s="125"/>
      <c r="Y20" s="125"/>
      <c r="Z20" s="125"/>
      <c r="AA20" s="125"/>
      <c r="AB20" s="125"/>
      <c r="AC20" s="125"/>
      <c r="AD20" s="125"/>
      <c r="AE20" s="125"/>
    </row>
    <row r="21" spans="1:31" ht="18">
      <c r="A21" s="32" t="s">
        <v>54</v>
      </c>
      <c r="B21" s="33"/>
      <c r="C21" s="32" t="s">
        <v>55</v>
      </c>
      <c r="D21" s="8"/>
      <c r="E21" s="109">
        <v>7850</v>
      </c>
      <c r="F21" s="33" t="s">
        <v>56</v>
      </c>
      <c r="G21" s="32"/>
      <c r="H21" s="33"/>
      <c r="J21" s="8"/>
      <c r="K21" s="8"/>
      <c r="L21" s="8"/>
      <c r="T21" s="8"/>
      <c r="U21" s="8"/>
      <c r="V21" s="8"/>
      <c r="W21" s="8"/>
      <c r="X21" s="125"/>
      <c r="Y21" s="125"/>
      <c r="Z21" s="125"/>
      <c r="AA21" s="125"/>
      <c r="AB21" s="125"/>
      <c r="AC21" s="125"/>
      <c r="AD21" s="125"/>
      <c r="AE21" s="125"/>
    </row>
    <row r="22" spans="1:31" ht="15">
      <c r="A22" s="32" t="s">
        <v>310</v>
      </c>
      <c r="B22" s="33"/>
      <c r="C22" s="32"/>
      <c r="D22" s="8"/>
      <c r="E22" s="155" t="str">
        <f>'Input &amp; Output'!C33</f>
        <v>Ja</v>
      </c>
      <c r="F22" s="33"/>
      <c r="G22" s="32"/>
      <c r="H22" s="33"/>
      <c r="J22" s="8"/>
      <c r="K22" s="8"/>
      <c r="L22" s="8"/>
      <c r="T22" s="8"/>
      <c r="U22" s="8"/>
      <c r="V22" s="8"/>
      <c r="W22" s="8"/>
      <c r="X22" s="125"/>
      <c r="Y22" s="125"/>
      <c r="Z22" s="125"/>
      <c r="AA22" s="125"/>
      <c r="AB22" s="125"/>
      <c r="AC22" s="125"/>
      <c r="AD22" s="125"/>
      <c r="AE22" s="125"/>
    </row>
    <row r="23" spans="1:31" ht="15">
      <c r="A23" s="32" t="s">
        <v>216</v>
      </c>
      <c r="B23" s="33"/>
      <c r="C23" s="32" t="s">
        <v>260</v>
      </c>
      <c r="D23" s="8"/>
      <c r="E23" s="109">
        <f>'Input &amp; Output'!C31</f>
        <v>5</v>
      </c>
      <c r="F23" s="33" t="s">
        <v>217</v>
      </c>
      <c r="G23" s="32"/>
      <c r="H23" s="33"/>
      <c r="J23" s="8"/>
      <c r="K23" s="8"/>
      <c r="L23" s="8"/>
      <c r="T23" s="8"/>
      <c r="U23" s="8"/>
      <c r="V23" s="8"/>
      <c r="W23" s="8"/>
      <c r="X23" s="125"/>
      <c r="Y23" s="125"/>
      <c r="Z23" s="125"/>
      <c r="AA23" s="125"/>
      <c r="AB23" s="125"/>
      <c r="AC23" s="125"/>
      <c r="AD23" s="125"/>
      <c r="AE23" s="125"/>
    </row>
    <row r="24" spans="1:31" ht="18.75">
      <c r="A24" s="32" t="s">
        <v>152</v>
      </c>
      <c r="B24" s="33"/>
      <c r="C24" s="32" t="s">
        <v>154</v>
      </c>
      <c r="D24" s="8"/>
      <c r="E24" s="108">
        <f>IF('Input &amp; Output'!C28="Ingen sneophobning",0,'Input &amp; Output'!C28)</f>
        <v>0</v>
      </c>
      <c r="F24" s="33" t="s">
        <v>10</v>
      </c>
      <c r="G24" s="32"/>
      <c r="H24" s="33"/>
      <c r="J24" s="8"/>
      <c r="K24" s="8"/>
      <c r="L24" s="8"/>
      <c r="T24" s="12"/>
      <c r="U24" s="12"/>
      <c r="V24" s="80"/>
      <c r="W24" s="58"/>
      <c r="X24" s="125"/>
      <c r="Y24" s="12"/>
      <c r="Z24" s="80"/>
      <c r="AA24" s="80"/>
      <c r="AB24" s="80"/>
      <c r="AC24" s="58"/>
      <c r="AD24" s="58"/>
      <c r="AE24" s="125"/>
    </row>
    <row r="25" spans="1:31" ht="18">
      <c r="A25" s="32" t="s">
        <v>50</v>
      </c>
      <c r="B25" s="33"/>
      <c r="C25" s="32" t="s">
        <v>52</v>
      </c>
      <c r="D25" s="8"/>
      <c r="E25" s="108">
        <f>Laster!E19+E24</f>
        <v>0.7200000000000001</v>
      </c>
      <c r="F25" s="33" t="s">
        <v>10</v>
      </c>
      <c r="G25" s="32"/>
      <c r="H25" s="33"/>
      <c r="J25" s="8"/>
      <c r="K25" s="8"/>
      <c r="L25" s="8"/>
      <c r="T25" s="13"/>
      <c r="U25" s="15"/>
      <c r="V25" s="13"/>
      <c r="W25" s="13"/>
      <c r="X25" s="13"/>
      <c r="Y25" s="116"/>
      <c r="Z25" s="13"/>
      <c r="AA25" s="13"/>
      <c r="AB25" s="13"/>
      <c r="AC25" s="13"/>
      <c r="AD25" s="58"/>
      <c r="AE25" s="125"/>
    </row>
    <row r="26" spans="1:31" ht="18.75">
      <c r="A26" s="32" t="s">
        <v>118</v>
      </c>
      <c r="B26" s="33"/>
      <c r="C26" s="32" t="s">
        <v>124</v>
      </c>
      <c r="D26" s="8"/>
      <c r="E26" s="108">
        <f>Laster!E70</f>
        <v>0.42341220435928995</v>
      </c>
      <c r="F26" s="33" t="s">
        <v>10</v>
      </c>
      <c r="G26" s="32"/>
      <c r="H26" s="33"/>
      <c r="J26" s="8"/>
      <c r="K26" s="8"/>
      <c r="L26" s="8"/>
      <c r="N26" s="114"/>
      <c r="O26" s="114"/>
      <c r="P26" s="114"/>
      <c r="Q26" s="114"/>
      <c r="R26" s="114"/>
      <c r="S26" s="114"/>
      <c r="T26" s="13"/>
      <c r="U26" s="15"/>
      <c r="V26" s="13"/>
      <c r="W26" s="13"/>
      <c r="X26" s="13"/>
      <c r="Y26" s="116"/>
      <c r="Z26" s="13"/>
      <c r="AA26" s="13"/>
      <c r="AB26" s="13"/>
      <c r="AC26" s="13"/>
      <c r="AD26" s="58"/>
      <c r="AE26" s="125"/>
    </row>
    <row r="27" spans="1:31" ht="18.75">
      <c r="A27" s="32" t="s">
        <v>119</v>
      </c>
      <c r="B27" s="33"/>
      <c r="C27" s="32" t="s">
        <v>125</v>
      </c>
      <c r="D27" s="8"/>
      <c r="E27" s="108">
        <f>Laster!E71</f>
        <v>-1.1855541722060117</v>
      </c>
      <c r="F27" s="33" t="s">
        <v>10</v>
      </c>
      <c r="G27" s="32"/>
      <c r="H27" s="33"/>
      <c r="J27" s="8"/>
      <c r="K27" s="8"/>
      <c r="L27" s="8"/>
      <c r="N27" s="114"/>
      <c r="O27" s="114"/>
      <c r="P27" s="114"/>
      <c r="Q27" s="114"/>
      <c r="R27" s="114"/>
      <c r="S27" s="114"/>
      <c r="T27" s="13"/>
      <c r="U27" s="15"/>
      <c r="V27" s="13"/>
      <c r="W27" s="13"/>
      <c r="X27" s="13"/>
      <c r="Y27" s="116"/>
      <c r="Z27" s="60"/>
      <c r="AA27" s="60"/>
      <c r="AB27" s="60"/>
      <c r="AC27" s="60"/>
      <c r="AD27" s="58"/>
      <c r="AE27" s="125"/>
    </row>
    <row r="28" spans="1:31" ht="18.75">
      <c r="A28" s="32" t="s">
        <v>190</v>
      </c>
      <c r="B28" s="33"/>
      <c r="C28" s="8" t="s">
        <v>295</v>
      </c>
      <c r="D28" s="8"/>
      <c r="E28" s="108">
        <f>IF(Laster!C6=1,Laster!E8,IF(Laster!C6=2,Laster!E8-0.1-2*0.04,IF(Laster!C6=3,Laster!E8,IF(Laster!C6=4,0))))</f>
        <v>0.4508</v>
      </c>
      <c r="F28" s="33" t="s">
        <v>10</v>
      </c>
      <c r="G28" s="32" t="s">
        <v>258</v>
      </c>
      <c r="H28" s="33"/>
      <c r="J28" s="8"/>
      <c r="K28" s="8"/>
      <c r="L28" s="8"/>
      <c r="N28" s="114"/>
      <c r="O28" s="114"/>
      <c r="P28" s="114"/>
      <c r="Q28" s="114"/>
      <c r="R28" s="114"/>
      <c r="S28" s="114"/>
      <c r="T28" s="13"/>
      <c r="U28" s="15"/>
      <c r="V28" s="13"/>
      <c r="W28" s="13"/>
      <c r="X28" s="13"/>
      <c r="Y28" s="116"/>
      <c r="Z28" s="60"/>
      <c r="AA28" s="60"/>
      <c r="AB28" s="60"/>
      <c r="AC28" s="60"/>
      <c r="AD28" s="58"/>
      <c r="AE28" s="125"/>
    </row>
    <row r="29" spans="1:31" ht="18.75">
      <c r="A29" s="32" t="s">
        <v>283</v>
      </c>
      <c r="B29" s="33"/>
      <c r="C29" s="8" t="s">
        <v>296</v>
      </c>
      <c r="D29" s="8"/>
      <c r="E29" s="108">
        <f>'Input &amp; Output'!C25</f>
        <v>0</v>
      </c>
      <c r="F29" s="33" t="s">
        <v>10</v>
      </c>
      <c r="G29" s="32"/>
      <c r="H29" s="33"/>
      <c r="J29" s="8"/>
      <c r="K29" s="8"/>
      <c r="L29" s="8"/>
      <c r="N29" s="114"/>
      <c r="O29" s="114"/>
      <c r="P29" s="114"/>
      <c r="Q29" s="114"/>
      <c r="R29" s="114"/>
      <c r="S29" s="114"/>
      <c r="T29" s="13"/>
      <c r="U29" s="15"/>
      <c r="V29" s="13"/>
      <c r="W29" s="13"/>
      <c r="X29" s="13"/>
      <c r="Y29" s="116"/>
      <c r="Z29" s="60"/>
      <c r="AA29" s="60"/>
      <c r="AB29" s="60"/>
      <c r="AC29" s="60"/>
      <c r="AD29" s="58"/>
      <c r="AE29" s="125"/>
    </row>
    <row r="30" spans="1:31" ht="18.75">
      <c r="A30" s="32" t="s">
        <v>284</v>
      </c>
      <c r="B30" s="33"/>
      <c r="C30" s="8" t="s">
        <v>297</v>
      </c>
      <c r="D30" s="8"/>
      <c r="E30" s="108">
        <f>'Input &amp; Output'!C26</f>
        <v>0</v>
      </c>
      <c r="F30" s="33" t="s">
        <v>10</v>
      </c>
      <c r="G30" s="32"/>
      <c r="H30" s="33"/>
      <c r="J30" s="8"/>
      <c r="K30" s="8"/>
      <c r="L30" s="8"/>
      <c r="N30" s="114"/>
      <c r="O30" s="114"/>
      <c r="P30" s="114"/>
      <c r="Q30" s="114"/>
      <c r="R30" s="114"/>
      <c r="S30" s="114"/>
      <c r="T30" s="13"/>
      <c r="U30" s="15"/>
      <c r="V30" s="13"/>
      <c r="W30" s="13"/>
      <c r="X30" s="13"/>
      <c r="Y30" s="116"/>
      <c r="Z30" s="60"/>
      <c r="AA30" s="60"/>
      <c r="AB30" s="60"/>
      <c r="AC30" s="60"/>
      <c r="AD30" s="58"/>
      <c r="AE30" s="125"/>
    </row>
    <row r="31" spans="1:31" ht="18.75">
      <c r="A31" s="32" t="s">
        <v>123</v>
      </c>
      <c r="B31" s="33"/>
      <c r="C31" s="32" t="s">
        <v>298</v>
      </c>
      <c r="D31" s="8"/>
      <c r="E31" s="108">
        <f>Laster!E8+E29+E30</f>
        <v>0.4508</v>
      </c>
      <c r="F31" s="33" t="s">
        <v>10</v>
      </c>
      <c r="G31" s="32"/>
      <c r="H31" s="33"/>
      <c r="J31" s="8"/>
      <c r="K31" s="8"/>
      <c r="L31" s="8"/>
      <c r="N31" s="114"/>
      <c r="O31" s="114"/>
      <c r="P31" s="114"/>
      <c r="Q31" s="114"/>
      <c r="R31" s="114"/>
      <c r="S31" s="114"/>
      <c r="T31" s="13"/>
      <c r="U31" s="15"/>
      <c r="V31" s="13"/>
      <c r="W31" s="13"/>
      <c r="X31" s="13"/>
      <c r="Y31" s="116"/>
      <c r="Z31" s="60"/>
      <c r="AA31" s="60"/>
      <c r="AB31" s="60"/>
      <c r="AC31" s="60"/>
      <c r="AD31" s="58"/>
      <c r="AE31" s="125"/>
    </row>
    <row r="32" spans="1:31" ht="18.75">
      <c r="A32" s="32" t="s">
        <v>53</v>
      </c>
      <c r="B32" s="33"/>
      <c r="C32" s="32" t="s">
        <v>213</v>
      </c>
      <c r="D32" s="8"/>
      <c r="E32" s="108">
        <f>'Input &amp; Output'!C27</f>
        <v>0.1</v>
      </c>
      <c r="F32" s="33" t="s">
        <v>10</v>
      </c>
      <c r="G32" s="32"/>
      <c r="H32" s="33"/>
      <c r="J32" s="8"/>
      <c r="K32" s="8"/>
      <c r="L32" s="8"/>
      <c r="T32" s="13"/>
      <c r="U32" s="15"/>
      <c r="V32" s="13"/>
      <c r="W32" s="13"/>
      <c r="X32" s="13"/>
      <c r="Y32" s="116"/>
      <c r="Z32" s="60"/>
      <c r="AA32" s="60"/>
      <c r="AB32" s="60"/>
      <c r="AC32" s="60"/>
      <c r="AD32" s="58"/>
      <c r="AE32" s="125"/>
    </row>
    <row r="33" spans="1:31" ht="18.75">
      <c r="A33" s="32" t="s">
        <v>300</v>
      </c>
      <c r="B33" s="33"/>
      <c r="C33" s="32" t="s">
        <v>301</v>
      </c>
      <c r="D33" s="8"/>
      <c r="E33" s="108">
        <f>Laster!E6+Beregninger!E29</f>
        <v>0.19440000000000002</v>
      </c>
      <c r="F33" s="33" t="s">
        <v>10</v>
      </c>
      <c r="G33" s="32"/>
      <c r="H33" s="33"/>
      <c r="J33" s="8"/>
      <c r="K33" s="8"/>
      <c r="L33" s="8"/>
      <c r="T33" s="13"/>
      <c r="U33" s="15"/>
      <c r="V33" s="13"/>
      <c r="W33" s="13"/>
      <c r="X33" s="13"/>
      <c r="Y33" s="116"/>
      <c r="Z33" s="60"/>
      <c r="AA33" s="60"/>
      <c r="AB33" s="60"/>
      <c r="AC33" s="60"/>
      <c r="AD33" s="58"/>
      <c r="AE33" s="125"/>
    </row>
    <row r="34" spans="1:12" ht="18.75">
      <c r="A34" s="32" t="s">
        <v>43</v>
      </c>
      <c r="B34" s="33"/>
      <c r="C34" s="32" t="s">
        <v>311</v>
      </c>
      <c r="D34" s="8"/>
      <c r="E34" s="108">
        <f>E31+E25+0.3*E26+E32</f>
        <v>1.397823661307787</v>
      </c>
      <c r="F34" s="33" t="s">
        <v>10</v>
      </c>
      <c r="G34" s="32" t="s">
        <v>288</v>
      </c>
      <c r="H34" s="33"/>
      <c r="J34" s="8"/>
      <c r="K34" s="8"/>
      <c r="L34" s="8"/>
    </row>
    <row r="35" spans="1:12" ht="18.75">
      <c r="A35" s="32" t="s">
        <v>43</v>
      </c>
      <c r="B35" s="33"/>
      <c r="C35" s="32" t="s">
        <v>312</v>
      </c>
      <c r="D35" s="8"/>
      <c r="E35" s="108">
        <f>E31+E26+E32</f>
        <v>0.9742122043592899</v>
      </c>
      <c r="F35" s="33" t="s">
        <v>10</v>
      </c>
      <c r="G35" s="32" t="s">
        <v>289</v>
      </c>
      <c r="H35" s="33"/>
      <c r="J35" s="8"/>
      <c r="K35" s="8"/>
      <c r="L35" s="8"/>
    </row>
    <row r="36" spans="1:12" ht="18.75">
      <c r="A36" s="32" t="s">
        <v>43</v>
      </c>
      <c r="B36" s="33"/>
      <c r="C36" s="32" t="s">
        <v>291</v>
      </c>
      <c r="D36" s="8"/>
      <c r="E36" s="108">
        <f>E27+0.9*E31</f>
        <v>-0.7798341722060117</v>
      </c>
      <c r="F36" s="33" t="s">
        <v>10</v>
      </c>
      <c r="G36" s="32" t="s">
        <v>290</v>
      </c>
      <c r="H36" s="33"/>
      <c r="J36" s="8"/>
      <c r="K36" s="8"/>
      <c r="L36" s="8"/>
    </row>
    <row r="37" spans="1:12" ht="18.75">
      <c r="A37" s="32" t="s">
        <v>44</v>
      </c>
      <c r="B37" s="33"/>
      <c r="C37" s="32" t="s">
        <v>257</v>
      </c>
      <c r="D37" s="8"/>
      <c r="E37" s="108">
        <f>E16*(1.5*E25+0.45*E26+E31+E32)</f>
        <v>1.8213354919616807</v>
      </c>
      <c r="F37" s="33" t="s">
        <v>10</v>
      </c>
      <c r="G37" s="32" t="s">
        <v>255</v>
      </c>
      <c r="H37" s="33"/>
      <c r="J37" s="8"/>
      <c r="K37" s="8"/>
      <c r="L37" s="8"/>
    </row>
    <row r="38" spans="1:12" ht="18.75">
      <c r="A38" s="32" t="s">
        <v>44</v>
      </c>
      <c r="B38" s="33"/>
      <c r="C38" s="32" t="s">
        <v>268</v>
      </c>
      <c r="D38" s="8"/>
      <c r="E38" s="108">
        <f>E16*(1.5*E26+E31+E32)</f>
        <v>1.1859183065389352</v>
      </c>
      <c r="F38" s="33" t="s">
        <v>10</v>
      </c>
      <c r="G38" s="32" t="s">
        <v>256</v>
      </c>
      <c r="H38" s="33"/>
      <c r="J38" s="8"/>
      <c r="K38" s="8"/>
      <c r="L38" s="8"/>
    </row>
    <row r="39" spans="1:54" ht="18.75">
      <c r="A39" s="32" t="s">
        <v>44</v>
      </c>
      <c r="B39" s="33"/>
      <c r="C39" s="32" t="s">
        <v>269</v>
      </c>
      <c r="D39" s="8"/>
      <c r="E39" s="108">
        <f>E16*1.5*E27+0.9*E31</f>
        <v>-1.3726112583090173</v>
      </c>
      <c r="F39" s="33" t="s">
        <v>10</v>
      </c>
      <c r="G39" s="32" t="s">
        <v>267</v>
      </c>
      <c r="H39" s="33"/>
      <c r="J39" s="8"/>
      <c r="K39" s="8"/>
      <c r="L39" s="8"/>
      <c r="BA39" s="125"/>
      <c r="BB39" s="125"/>
    </row>
    <row r="40" spans="1:54" ht="18.75">
      <c r="A40" s="32" t="s">
        <v>44</v>
      </c>
      <c r="B40" s="8"/>
      <c r="C40" s="50" t="s">
        <v>279</v>
      </c>
      <c r="D40" s="8"/>
      <c r="E40" s="113">
        <f>E16*(0.2*MAX(E25,E26)+1*E31+1*E32)</f>
        <v>0.6948</v>
      </c>
      <c r="F40" s="33" t="s">
        <v>10</v>
      </c>
      <c r="G40" s="8" t="s">
        <v>212</v>
      </c>
      <c r="H40" s="33"/>
      <c r="J40" s="8"/>
      <c r="K40" s="8"/>
      <c r="L40" s="8"/>
      <c r="BA40" s="125"/>
      <c r="BB40" s="125"/>
    </row>
    <row r="41" spans="1:54" ht="18.75">
      <c r="A41" s="32" t="s">
        <v>44</v>
      </c>
      <c r="B41" s="8"/>
      <c r="C41" s="32" t="s">
        <v>302</v>
      </c>
      <c r="D41" s="8"/>
      <c r="E41" s="113">
        <f>E16*(1.5*E25+0.45*E26+E33)</f>
        <v>1.4649354919616804</v>
      </c>
      <c r="F41" s="33" t="s">
        <v>10</v>
      </c>
      <c r="G41" s="8" t="s">
        <v>292</v>
      </c>
      <c r="H41" s="33"/>
      <c r="J41" s="8"/>
      <c r="K41" s="8"/>
      <c r="L41" s="8"/>
      <c r="BA41" s="125"/>
      <c r="BB41" s="125"/>
    </row>
    <row r="42" spans="1:54" ht="18.75">
      <c r="A42" s="32" t="s">
        <v>44</v>
      </c>
      <c r="B42" s="8"/>
      <c r="C42" s="32" t="s">
        <v>303</v>
      </c>
      <c r="D42" s="8"/>
      <c r="E42" s="113">
        <f>E16*(1.5*E26+E33)</f>
        <v>0.829518306538935</v>
      </c>
      <c r="F42" s="33" t="s">
        <v>10</v>
      </c>
      <c r="G42" s="8" t="s">
        <v>293</v>
      </c>
      <c r="H42" s="33"/>
      <c r="J42" s="8"/>
      <c r="K42" s="8"/>
      <c r="L42" s="8"/>
      <c r="BA42" s="125"/>
      <c r="BB42" s="125"/>
    </row>
    <row r="43" spans="1:54" ht="18.75">
      <c r="A43" s="34" t="s">
        <v>44</v>
      </c>
      <c r="B43" s="35"/>
      <c r="C43" s="34" t="s">
        <v>304</v>
      </c>
      <c r="D43" s="35"/>
      <c r="E43" s="142">
        <f>E16*1.5*E27+0.9*E33</f>
        <v>-1.6033712583090174</v>
      </c>
      <c r="F43" s="36" t="s">
        <v>10</v>
      </c>
      <c r="G43" s="35" t="s">
        <v>294</v>
      </c>
      <c r="H43" s="36"/>
      <c r="J43" s="8"/>
      <c r="K43" s="8"/>
      <c r="L43" s="8"/>
      <c r="BA43" s="125"/>
      <c r="BB43" s="125"/>
    </row>
    <row r="44" spans="1:54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BA44" s="125"/>
      <c r="BB44" s="125"/>
    </row>
    <row r="45" spans="1:54" ht="15">
      <c r="A45" s="27" t="s">
        <v>40</v>
      </c>
      <c r="B45" s="8"/>
      <c r="C45" s="8"/>
      <c r="D45" s="8"/>
      <c r="E45" s="79"/>
      <c r="F45" s="79"/>
      <c r="G45" s="8"/>
      <c r="H45" s="79"/>
      <c r="I45" s="8"/>
      <c r="J45" s="8"/>
      <c r="K45" s="8"/>
      <c r="L45" s="8"/>
      <c r="BA45" s="125"/>
      <c r="BB45" s="125"/>
    </row>
    <row r="46" spans="1:57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U46" s="140" t="s">
        <v>206</v>
      </c>
      <c r="Y46" s="28" t="s">
        <v>234</v>
      </c>
      <c r="Z46" s="139"/>
      <c r="AA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8"/>
      <c r="BB46" s="8"/>
      <c r="BC46" s="2"/>
      <c r="BD46" s="2"/>
      <c r="BE46" s="2"/>
    </row>
    <row r="47" spans="1:57" ht="15">
      <c r="A47" s="9" t="s">
        <v>14</v>
      </c>
      <c r="B47" s="7" t="s">
        <v>31</v>
      </c>
      <c r="C47" s="16" t="s">
        <v>172</v>
      </c>
      <c r="D47" s="16" t="s">
        <v>175</v>
      </c>
      <c r="E47" s="44" t="s">
        <v>175</v>
      </c>
      <c r="F47" s="16" t="s">
        <v>175</v>
      </c>
      <c r="G47" s="16" t="s">
        <v>15</v>
      </c>
      <c r="H47" s="16" t="s">
        <v>16</v>
      </c>
      <c r="I47" s="236" t="s">
        <v>248</v>
      </c>
      <c r="J47" s="225"/>
      <c r="K47" s="225"/>
      <c r="L47" s="225"/>
      <c r="M47" s="17" t="s">
        <v>18</v>
      </c>
      <c r="U47" s="2"/>
      <c r="V47" s="2"/>
      <c r="Y47" s="2"/>
      <c r="Z47" s="2"/>
      <c r="AA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8"/>
      <c r="BB47" s="8"/>
      <c r="BC47" s="2"/>
      <c r="BD47" s="2"/>
      <c r="BE47" s="2"/>
    </row>
    <row r="48" spans="1:27" ht="15">
      <c r="A48" s="10" t="s">
        <v>24</v>
      </c>
      <c r="B48" s="4" t="s">
        <v>32</v>
      </c>
      <c r="C48" s="13" t="s">
        <v>173</v>
      </c>
      <c r="D48" s="13" t="s">
        <v>177</v>
      </c>
      <c r="E48" s="12" t="s">
        <v>176</v>
      </c>
      <c r="F48" s="13" t="s">
        <v>178</v>
      </c>
      <c r="G48" s="13"/>
      <c r="H48" s="13" t="s">
        <v>19</v>
      </c>
      <c r="I48" s="234" t="s">
        <v>163</v>
      </c>
      <c r="J48" s="244"/>
      <c r="K48" s="245" t="s">
        <v>162</v>
      </c>
      <c r="L48" s="214"/>
      <c r="M48" s="18" t="s">
        <v>20</v>
      </c>
      <c r="U48" s="2"/>
      <c r="V48" s="2"/>
      <c r="Y48" s="6" t="s">
        <v>237</v>
      </c>
      <c r="Z48" s="16" t="s">
        <v>235</v>
      </c>
      <c r="AA48" s="17" t="s">
        <v>236</v>
      </c>
    </row>
    <row r="49" spans="1:28" ht="16.5">
      <c r="A49" s="10"/>
      <c r="B49" s="10" t="s">
        <v>37</v>
      </c>
      <c r="C49" s="13" t="s">
        <v>174</v>
      </c>
      <c r="D49" s="13" t="s">
        <v>67</v>
      </c>
      <c r="E49" s="13" t="s">
        <v>179</v>
      </c>
      <c r="F49" s="13" t="s">
        <v>38</v>
      </c>
      <c r="G49" s="13" t="s">
        <v>34</v>
      </c>
      <c r="H49" s="13" t="s">
        <v>35</v>
      </c>
      <c r="I49" s="13" t="s">
        <v>204</v>
      </c>
      <c r="J49" s="13" t="s">
        <v>205</v>
      </c>
      <c r="K49" s="13" t="s">
        <v>204</v>
      </c>
      <c r="L49" s="13" t="s">
        <v>205</v>
      </c>
      <c r="M49" s="18" t="s">
        <v>36</v>
      </c>
      <c r="U49" s="7" t="s">
        <v>15</v>
      </c>
      <c r="V49" s="44" t="s">
        <v>17</v>
      </c>
      <c r="W49" s="141" t="s">
        <v>17</v>
      </c>
      <c r="Y49" s="5" t="s">
        <v>21</v>
      </c>
      <c r="Z49" s="19" t="s">
        <v>22</v>
      </c>
      <c r="AA49" s="20" t="s">
        <v>22</v>
      </c>
      <c r="AB49" s="13"/>
    </row>
    <row r="50" spans="1:28" ht="18.75">
      <c r="A50" s="11"/>
      <c r="B50" s="10" t="s">
        <v>39</v>
      </c>
      <c r="C50" s="13" t="s">
        <v>39</v>
      </c>
      <c r="D50" s="13" t="s">
        <v>120</v>
      </c>
      <c r="E50" s="13" t="s">
        <v>120</v>
      </c>
      <c r="F50" s="13" t="s">
        <v>120</v>
      </c>
      <c r="G50" s="13" t="s">
        <v>33</v>
      </c>
      <c r="H50" s="13" t="s">
        <v>22</v>
      </c>
      <c r="I50" s="13" t="s">
        <v>22</v>
      </c>
      <c r="J50" s="13" t="s">
        <v>22</v>
      </c>
      <c r="K50" s="13" t="s">
        <v>22</v>
      </c>
      <c r="L50" s="13" t="s">
        <v>22</v>
      </c>
      <c r="M50" s="18" t="s">
        <v>23</v>
      </c>
      <c r="U50" s="10" t="s">
        <v>207</v>
      </c>
      <c r="V50" s="13" t="s">
        <v>208</v>
      </c>
      <c r="W50" s="18" t="s">
        <v>209</v>
      </c>
      <c r="Y50" s="3">
        <v>1.5</v>
      </c>
      <c r="Z50" s="13">
        <v>6.01</v>
      </c>
      <c r="AA50" s="22">
        <f>Z50/$E$20</f>
        <v>4.451851851851852</v>
      </c>
      <c r="AB50" s="13"/>
    </row>
    <row r="51" spans="1:28" ht="15">
      <c r="A51" s="9" t="s">
        <v>25</v>
      </c>
      <c r="B51" s="40">
        <f>2*1.5*(2*22+2*100+2*45+5*30+6*20)</f>
        <v>1812</v>
      </c>
      <c r="C51" s="41">
        <v>834.8</v>
      </c>
      <c r="D51" s="41">
        <f>0.845*10^6</f>
        <v>845000</v>
      </c>
      <c r="E51" s="41">
        <f>10.29*10^6</f>
        <v>10290000</v>
      </c>
      <c r="F51" s="41">
        <f>10.29*10^6</f>
        <v>10290000</v>
      </c>
      <c r="G51" s="42">
        <f>27.13/E19</f>
        <v>24.66363636363636</v>
      </c>
      <c r="H51" s="42">
        <f>48.83/E19</f>
        <v>44.39090909090908</v>
      </c>
      <c r="I51" s="42">
        <f>18.98/E19</f>
        <v>17.254545454545454</v>
      </c>
      <c r="J51" s="42">
        <f>40/E19</f>
        <v>36.36363636363636</v>
      </c>
      <c r="K51" s="42">
        <f>48.83/E19</f>
        <v>44.39090909090908</v>
      </c>
      <c r="L51" s="42">
        <f aca="true" t="shared" si="0" ref="L51:L56">K51</f>
        <v>44.39090909090908</v>
      </c>
      <c r="M51" s="43">
        <f aca="true" t="shared" si="1" ref="M51:M56">B51*7.85*9.82*10^-6</f>
        <v>0.139681644</v>
      </c>
      <c r="U51" s="10" t="s">
        <v>33</v>
      </c>
      <c r="V51" s="13" t="s">
        <v>22</v>
      </c>
      <c r="W51" s="18" t="s">
        <v>22</v>
      </c>
      <c r="Y51" s="5">
        <v>2</v>
      </c>
      <c r="Z51" s="19">
        <v>6.24</v>
      </c>
      <c r="AA51" s="26">
        <f>Z51/$E$20</f>
        <v>4.622222222222222</v>
      </c>
      <c r="AB51" s="130"/>
    </row>
    <row r="52" spans="1:28" ht="15">
      <c r="A52" s="10" t="s">
        <v>26</v>
      </c>
      <c r="B52" s="21">
        <f>2*2*(2*22+2*100+2*45+5*30+6*20)</f>
        <v>2416</v>
      </c>
      <c r="C52" s="14">
        <v>1118</v>
      </c>
      <c r="D52" s="14">
        <f>1.12*10^6</f>
        <v>1120000</v>
      </c>
      <c r="E52" s="14">
        <f>13.64*10^6</f>
        <v>13640000</v>
      </c>
      <c r="F52" s="14">
        <f>13.64*10^6</f>
        <v>13640000</v>
      </c>
      <c r="G52" s="15">
        <f>42.13/E19</f>
        <v>38.3</v>
      </c>
      <c r="H52" s="15">
        <f>77.75/E19</f>
        <v>70.68181818181817</v>
      </c>
      <c r="I52" s="15">
        <f>33.04/E19</f>
        <v>30.03636363636363</v>
      </c>
      <c r="J52" s="15">
        <f>50/E19</f>
        <v>45.45454545454545</v>
      </c>
      <c r="K52" s="15">
        <f>77.75/E19</f>
        <v>70.68181818181817</v>
      </c>
      <c r="L52" s="15">
        <f t="shared" si="0"/>
        <v>70.68181818181817</v>
      </c>
      <c r="M52" s="22">
        <f t="shared" si="1"/>
        <v>0.18624219199999997</v>
      </c>
      <c r="U52" s="103">
        <f aca="true" t="shared" si="2" ref="U52:U57">0.4*G51*$E$19</f>
        <v>10.852</v>
      </c>
      <c r="V52" s="42">
        <f aca="true" t="shared" si="3" ref="V52:W57">0.63*I51*$E$19</f>
        <v>11.957400000000002</v>
      </c>
      <c r="W52" s="43">
        <f t="shared" si="3"/>
        <v>25.2</v>
      </c>
      <c r="AA52" s="13"/>
      <c r="AB52" s="13"/>
    </row>
    <row r="53" spans="1:28" ht="15">
      <c r="A53" s="10" t="s">
        <v>27</v>
      </c>
      <c r="B53" s="21">
        <f>2*1.5*(2*22+2*150+2*45+5*30+6*20)</f>
        <v>2112</v>
      </c>
      <c r="C53" s="14">
        <v>978.3</v>
      </c>
      <c r="D53" s="14">
        <f>2.424*10^6</f>
        <v>2424000</v>
      </c>
      <c r="E53" s="14">
        <f>26.33*10^6</f>
        <v>26330000</v>
      </c>
      <c r="F53" s="14">
        <f>25.46*10^6</f>
        <v>25460000</v>
      </c>
      <c r="G53" s="15">
        <f>42.4/E19</f>
        <v>38.54545454545454</v>
      </c>
      <c r="H53" s="15">
        <f>37.9/E19</f>
        <v>34.45454545454545</v>
      </c>
      <c r="I53" s="15">
        <f>18.98/E19</f>
        <v>17.254545454545454</v>
      </c>
      <c r="J53" s="15">
        <f>40/E19</f>
        <v>36.36363636363636</v>
      </c>
      <c r="K53" s="15">
        <f>37.9/E19</f>
        <v>34.45454545454545</v>
      </c>
      <c r="L53" s="15">
        <f t="shared" si="0"/>
        <v>34.45454545454545</v>
      </c>
      <c r="M53" s="22">
        <f t="shared" si="1"/>
        <v>0.162807744</v>
      </c>
      <c r="U53" s="104">
        <f t="shared" si="2"/>
        <v>16.852</v>
      </c>
      <c r="V53" s="15">
        <f t="shared" si="3"/>
        <v>20.815199999999997</v>
      </c>
      <c r="W53" s="22">
        <f t="shared" si="3"/>
        <v>31.500000000000004</v>
      </c>
      <c r="AA53" s="13"/>
      <c r="AB53" s="13"/>
    </row>
    <row r="54" spans="1:28" ht="15">
      <c r="A54" s="10" t="s">
        <v>28</v>
      </c>
      <c r="B54" s="21">
        <f>2*2*(2*22+2*150+2*45+5*30+6*20)</f>
        <v>2816</v>
      </c>
      <c r="C54" s="14">
        <v>1310</v>
      </c>
      <c r="D54" s="14">
        <f>3.211*10^6</f>
        <v>3211000</v>
      </c>
      <c r="E54" s="14">
        <f>35.18*10^6</f>
        <v>35180000</v>
      </c>
      <c r="F54" s="14">
        <f>34.95*10^6</f>
        <v>34950000</v>
      </c>
      <c r="G54" s="15">
        <f>66.16/E19</f>
        <v>60.145454545454534</v>
      </c>
      <c r="H54" s="15">
        <f>85.65/E19</f>
        <v>77.86363636363636</v>
      </c>
      <c r="I54" s="15">
        <f>33.04/E19</f>
        <v>30.03636363636363</v>
      </c>
      <c r="J54" s="138">
        <f>50/E19</f>
        <v>45.45454545454545</v>
      </c>
      <c r="K54" s="15">
        <f>85.65/E19</f>
        <v>77.86363636363636</v>
      </c>
      <c r="L54" s="15">
        <f t="shared" si="0"/>
        <v>77.86363636363636</v>
      </c>
      <c r="M54" s="22">
        <f t="shared" si="1"/>
        <v>0.217076992</v>
      </c>
      <c r="U54" s="104">
        <f t="shared" si="2"/>
        <v>16.96</v>
      </c>
      <c r="V54" s="15">
        <f t="shared" si="3"/>
        <v>11.957400000000002</v>
      </c>
      <c r="W54" s="22">
        <f t="shared" si="3"/>
        <v>25.2</v>
      </c>
      <c r="AA54" s="13"/>
      <c r="AB54" s="13"/>
    </row>
    <row r="55" spans="1:23" ht="15">
      <c r="A55" s="10" t="s">
        <v>29</v>
      </c>
      <c r="B55" s="21">
        <f>2*1.5*(2*22+2*175+2*45+5*30+6*20)</f>
        <v>2262</v>
      </c>
      <c r="C55" s="14">
        <v>1050</v>
      </c>
      <c r="D55" s="14">
        <f>3.605*10^6</f>
        <v>3605000</v>
      </c>
      <c r="E55" s="14">
        <f>37.77*10^6</f>
        <v>37770000</v>
      </c>
      <c r="F55" s="14">
        <f>35.84*10^6</f>
        <v>35840000</v>
      </c>
      <c r="G55" s="15">
        <f>50.12/E19</f>
        <v>45.563636363636355</v>
      </c>
      <c r="H55" s="15">
        <f>31.88/E19</f>
        <v>28.981818181818177</v>
      </c>
      <c r="I55" s="15">
        <f>18.98/E19</f>
        <v>17.254545454545454</v>
      </c>
      <c r="J55" s="138">
        <f>40/E19</f>
        <v>36.36363636363636</v>
      </c>
      <c r="K55" s="15">
        <f>31.88/E19</f>
        <v>28.981818181818177</v>
      </c>
      <c r="L55" s="15">
        <f t="shared" si="0"/>
        <v>28.981818181818177</v>
      </c>
      <c r="M55" s="22">
        <f t="shared" si="1"/>
        <v>0.17437079400000002</v>
      </c>
      <c r="U55" s="104">
        <f t="shared" si="2"/>
        <v>26.464</v>
      </c>
      <c r="V55" s="15">
        <f t="shared" si="3"/>
        <v>20.815199999999997</v>
      </c>
      <c r="W55" s="22">
        <f t="shared" si="3"/>
        <v>31.500000000000004</v>
      </c>
    </row>
    <row r="56" spans="1:23" ht="15">
      <c r="A56" s="11" t="s">
        <v>30</v>
      </c>
      <c r="B56" s="23">
        <f>2*2*(2*22+2*175+2*45+5*30+6*20)</f>
        <v>3016</v>
      </c>
      <c r="C56" s="24">
        <v>1407</v>
      </c>
      <c r="D56" s="24">
        <f>4.801*10^6</f>
        <v>4801000</v>
      </c>
      <c r="E56" s="24">
        <f>50.5*10^6</f>
        <v>50500000</v>
      </c>
      <c r="F56" s="24">
        <f>48.97*10^6</f>
        <v>48970000</v>
      </c>
      <c r="G56" s="25">
        <f>78.29/E19</f>
        <v>71.17272727272727</v>
      </c>
      <c r="H56" s="25">
        <f>72.2/E19</f>
        <v>65.63636363636364</v>
      </c>
      <c r="I56" s="25">
        <f>33.04/E19</f>
        <v>30.03636363636363</v>
      </c>
      <c r="J56" s="25">
        <f>50/E19</f>
        <v>45.45454545454545</v>
      </c>
      <c r="K56" s="25">
        <f>72.2/E19</f>
        <v>65.63636363636364</v>
      </c>
      <c r="L56" s="25">
        <f t="shared" si="0"/>
        <v>65.63636363636364</v>
      </c>
      <c r="M56" s="26">
        <f t="shared" si="1"/>
        <v>0.232494392</v>
      </c>
      <c r="U56" s="104">
        <f>0.4*G55*$E$19</f>
        <v>20.048</v>
      </c>
      <c r="V56" s="15">
        <f t="shared" si="3"/>
        <v>11.957400000000002</v>
      </c>
      <c r="W56" s="22">
        <f t="shared" si="3"/>
        <v>25.2</v>
      </c>
    </row>
    <row r="57" spans="1:23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U57" s="105">
        <f t="shared" si="2"/>
        <v>31.316000000000003</v>
      </c>
      <c r="V57" s="25">
        <f t="shared" si="3"/>
        <v>20.815199999999997</v>
      </c>
      <c r="W57" s="26">
        <f t="shared" si="3"/>
        <v>31.500000000000004</v>
      </c>
    </row>
    <row r="58" spans="1:12" ht="15">
      <c r="A58" s="28" t="s">
        <v>333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25" ht="15">
      <c r="A60" s="6" t="s">
        <v>14</v>
      </c>
      <c r="B60" s="9"/>
      <c r="C60" s="16"/>
      <c r="D60" s="236" t="s">
        <v>331</v>
      </c>
      <c r="E60" s="225"/>
      <c r="F60" s="225"/>
      <c r="G60" s="225"/>
      <c r="H60" s="225"/>
      <c r="I60" s="225"/>
      <c r="J60" s="225"/>
      <c r="K60" s="225"/>
      <c r="L60" s="225"/>
      <c r="M60" s="236" t="s">
        <v>332</v>
      </c>
      <c r="N60" s="225"/>
      <c r="O60" s="225"/>
      <c r="P60" s="16" t="s">
        <v>334</v>
      </c>
      <c r="Q60" s="17" t="s">
        <v>335</v>
      </c>
      <c r="R60" s="13"/>
      <c r="S60" s="13" t="s">
        <v>357</v>
      </c>
      <c r="U60" s="102" t="s">
        <v>168</v>
      </c>
      <c r="V60" s="2"/>
      <c r="W60" s="2"/>
      <c r="X60" s="2"/>
      <c r="Y60" s="2"/>
    </row>
    <row r="61" spans="1:57" ht="15">
      <c r="A61" s="3" t="s">
        <v>24</v>
      </c>
      <c r="B61" s="10" t="s">
        <v>147</v>
      </c>
      <c r="C61" s="13" t="s">
        <v>137</v>
      </c>
      <c r="D61" s="234" t="s">
        <v>41</v>
      </c>
      <c r="E61" s="214"/>
      <c r="F61" s="234" t="s">
        <v>306</v>
      </c>
      <c r="G61" s="234"/>
      <c r="H61" s="234" t="s">
        <v>307</v>
      </c>
      <c r="I61" s="234"/>
      <c r="J61" s="13" t="s">
        <v>305</v>
      </c>
      <c r="K61" s="245" t="s">
        <v>148</v>
      </c>
      <c r="L61" s="214"/>
      <c r="M61" s="13" t="s">
        <v>41</v>
      </c>
      <c r="N61" s="13" t="s">
        <v>210</v>
      </c>
      <c r="O61" s="13" t="s">
        <v>211</v>
      </c>
      <c r="P61" s="13" t="s">
        <v>220</v>
      </c>
      <c r="Q61" s="18"/>
      <c r="R61" s="13"/>
      <c r="S61" s="13"/>
      <c r="AD61" s="70" t="s">
        <v>163</v>
      </c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8"/>
      <c r="BB61" s="8"/>
      <c r="BC61" s="2"/>
      <c r="BD61" s="2"/>
      <c r="BE61" s="2"/>
    </row>
    <row r="62" spans="1:57" ht="18">
      <c r="A62" s="5"/>
      <c r="B62" s="32"/>
      <c r="C62" s="13"/>
      <c r="D62" s="13" t="s">
        <v>163</v>
      </c>
      <c r="E62" s="13" t="s">
        <v>162</v>
      </c>
      <c r="F62" s="13" t="s">
        <v>163</v>
      </c>
      <c r="G62" s="13" t="s">
        <v>162</v>
      </c>
      <c r="H62" s="13" t="s">
        <v>163</v>
      </c>
      <c r="I62" s="13" t="s">
        <v>162</v>
      </c>
      <c r="J62" s="13"/>
      <c r="K62" s="12"/>
      <c r="L62" s="203"/>
      <c r="M62" s="13"/>
      <c r="N62" s="13"/>
      <c r="O62" s="13"/>
      <c r="P62" s="13" t="s">
        <v>57</v>
      </c>
      <c r="Q62" s="18" t="s">
        <v>59</v>
      </c>
      <c r="R62" s="13"/>
      <c r="S62" s="13"/>
      <c r="U62" s="29"/>
      <c r="V62" s="242" t="s">
        <v>338</v>
      </c>
      <c r="W62" s="243"/>
      <c r="X62" s="236" t="s">
        <v>339</v>
      </c>
      <c r="Y62" s="236"/>
      <c r="Z62" s="242" t="s">
        <v>340</v>
      </c>
      <c r="AA62" s="243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8"/>
      <c r="BB62" s="8"/>
      <c r="BC62" s="2"/>
      <c r="BD62" s="2"/>
      <c r="BE62" s="2"/>
    </row>
    <row r="63" spans="1:57" ht="15">
      <c r="A63" s="3" t="s">
        <v>25</v>
      </c>
      <c r="B63" s="9" t="str">
        <f>IF($E$12&gt;=0.25,"OK","-")</f>
        <v>OK</v>
      </c>
      <c r="C63" s="16" t="str">
        <f>IF('Input &amp; Output'!$C$23="Ja","OK",IF($E$13="Intet krav","OK",IF($E$4&gt;18,"-",IF($E$13="BD60","-",IF($E$13="BS60","-",IF('Input &amp; Output'!$H$37="","OK","-"))))))</f>
        <v>OK</v>
      </c>
      <c r="D63" s="42">
        <f aca="true" t="shared" si="4" ref="D63:D68">IF($E$10="Simpelt understøttet",ROUNDDOWN((8*G51/($E$4^2)-M51)/(MAX($E$37,$E$38)),5),IF($E$10="Mellemunderstøttet",MIN(ROUNDDOWN((8*G51*(($E$4+$E$6)/($E$4^3+$E$6^3))-M51)/(MAX($E$37,$E$38)),5),ROUNDDOWN(((($E$4^2)/8+(1/(128*($E$4^2)))*(($E$4^3+$E$6^3)/($E$4+$E$6))^2-(1/16)*(($E$4^3+$E$6^3)/($E$4+$E$6)))-M51)/(MAX($E$37,$E$38)),5)),"-"))</f>
        <v>0.67561</v>
      </c>
      <c r="E63" s="42">
        <f aca="true" t="shared" si="5" ref="E63:E68">IF($E$10="Simpelt understøttet",ROUNDDOWN((8*G51/($E$4^2)+0.9*M51)/(ABS($E$39)),5),IF($E$10="Mellemunderstøttet",MIN(ROUNDDOWN((8*G51*(($E$4+$E$6)/($E$4^3+$E$6^3))+0.9*M51)/ABS($E$39),5),ROUNDDOWN(((($E$4^2)/8+(1/(128*($E$4^2)))*(($E$4^3+$E$6^3)/($E$4+$E$6))^2-(1/16)*(($E$4^3+$E$6^3)/($E$4+$E$6)))+0.9*M51)/ABS($E$39),5)),"-"))</f>
        <v>1.08983</v>
      </c>
      <c r="F63" s="42">
        <f aca="true" t="shared" si="6" ref="F63:F68">IF($E$10="Simpelt understøttet",ROUNDDOWN(((2*I51)/$E$4-M51)/MAX($E$37,$E$38),5),IF($E$10="Mellemunderstøttet",ROUNDDOWN((I51/(0.5*$E$4-(1/(8*$E$4))*(($E$4^3+$E$6^3)/($E$4+$E$6)))-M51)/MAX($E$37,$E$38),5),"-"))</f>
        <v>1.50223</v>
      </c>
      <c r="G63" s="42">
        <f aca="true" t="shared" si="7" ref="G63:G68">IF($E$10="Simpelt understøttet",ROUNDDOWN(((2*K51)/$E$4+0.9*M51)/ABS($E$39),5),IF($E$10="Mellemunderstøttet",ROUNDDOWN((K51/(0.5*$E$4-(1/(8*$E$4))*(($E$4^3+$E$6^3)/($E$4+$E$6)))+0.9*M51)/ABS($E$39),5),"-"))</f>
        <v>5.48166</v>
      </c>
      <c r="H63" s="42">
        <f>IF($E$10="Simpelt understøttet",10,IF($E$10="Mellemunderstøttet",ROUNDDOWN(((J51/(0.5*($E$4+$E$6)+(1/8)*(($E$4^3+$E$6^3)/($E$4+$E$6))*(1/$E$4+1/$E$6)))-M51)/MAX($E$37,$E$38),5),"-"))</f>
        <v>10</v>
      </c>
      <c r="I63" s="42">
        <f aca="true" t="shared" si="8" ref="I63:I68">IF($E$10="Simpelt understøttet",10,IF($E$10="Mellemunderstøttet",ROUNDDOWN((L51/(0.5*($E$4+$E$6)+(1/8)*(($E$4^3+$E$6^3)/(($E$4+$E$6))*(1/$E$4+1/$E$6)))+0.9*M51)/ABS($E$39),5),"-"))</f>
        <v>10</v>
      </c>
      <c r="J63" s="157">
        <f aca="true" t="shared" si="9" ref="J63:J68">IF($E$10="Simpelt understøttet",IF($E$22="Ja",ROUNDDOWN(((384*$E$14*F51)/(5*$E$11*($E$4*10^3)^3))/MAX($E$34,$E$35,ABS($E$36)),5),ROUNDDOWN(((384*$E$14*F51)/(5*$E$11*($E$4*10^3)^3)-M51)/MAX($E$34,$E$35,ABS($E$36)),5)),IF($E$10="Mellemunderstøttet",IF($E$22="Ja",ROUNDDOWN((($E$14*F51)/($E$11*($E$4*10^3)*(0.01287*($E$4*10^3)^2-0.0598*(1/8)*((($E$4*10^3)^3+($E$6*10^3)^3)/($E$4*10^3+$E$6*10^3)))))/MAX($E$34,$E$35,ABS($E$36)),5),ROUNDDOWN(((($E$14*F51)/($E$11*($E$4*10^3)*(0.01287*($E$4*10^3)^2-0.0598*(1/8)*((($E$4*10^3)^3+($E$6*10^3)^3)/($E$4*10^3+$E$6*10^3)))))-M51)/MAX($E$34,$E$35,ABS($E$36)),5))))</f>
        <v>0.34353</v>
      </c>
      <c r="K63" s="42">
        <f>IF('Input &amp; Output'!$C$21="Andet",10,IF($E$8=0.65,IF($E$9*$BA$66&gt;=MAX($E$41,$E$42),$V$65,"-"),IF($E$8=0.7,IF($E$9*$BA$67&gt;=MAX($E$41,$E$42),$X$65,"-"),IF($E$8=0.75,IF($E$9*$BA$68&gt;=MAX($E$41,$E$42),$Z$65,"-")))))</f>
        <v>1.55</v>
      </c>
      <c r="L63" s="16">
        <f>IF('Input &amp; Output'!$C$21="Andet",10,IF($E$8=0.65,IF($E$9*$BA$75&gt;=ABS($E$43),$W$65,"-"),IF($E$8=0.7,IF($E$9*$BA$76&gt;=ABS($E$43),$Y$65,"-"),IF($E$8=0.75,IF($E$9*$BA$77&gt;=ABS($E$43),$AA$65,"-")))))</f>
        <v>1.55</v>
      </c>
      <c r="M63" s="42">
        <f>IF('Input &amp; Output'!$C$23="Ja",10,IF($E$13="Intet krav",10,IF(Beregninger!$E$13="BS60",IF($E$10="Simpelt understøttet",ROUNDDOWN((8*U52/($E$4^2)-M51)/($E$40),5),IF($E$10="Mellemunderstøttet",MIN(ROUNDDOWN((8*U52*(($E$4+$E$6)/($E$4^3+$E$6^3))-M51)/($E$40),5),ROUNDDOWN(((($E$4^2)/8+(1/(128*($E$4^2)))*(($E$4^3+$E$6^3)/($E$4+$E$6))^2-(1/16)*(($E$4^3+$E$6^3)/($E$4+$E$6)))-M51)/($E$40),5)))),IF($E$25&gt;2.25,IF($E$10="Simpelt understøttet",ROUNDDOWN((8*U52/($E$4^2)-M51)/($E$40),5),IF($E$10="Mellemunderstøttet",MIN(ROUNDDOWN((8*U52*(($E$4+$E$6)/($E$4^3+$E$6^3))-M51)/($E$40),5),ROUNDDOWN(((($E$4^2)/8+(1/(128*($E$4^2)))*(($E$4^3+$E$6^3)/($E$4+$E$6))^2-(1/16)*(($E$4^3+$E$6^3)/($E$4+$E$6)))-M51)/($E$40),5)))),10))))</f>
        <v>10</v>
      </c>
      <c r="N63" s="42">
        <f>IF('Input &amp; Output'!$C$23="Ja",10,IF($E$13="Intet krav",10,IF(Beregninger!$E$13="BS60",IF($E$10="Simpelt understøttet",ROUNDDOWN(((2*V52)/$E$4-M51)/($E$40),5),IF($E$10="Mellemunderstøttet",ROUNDDOWN((V52/(0.5*$E$4-(1/(8*$E$4))*(($E$4^3+$E$6^3)/($E$4+$E$6)))-M51)/($E$40),5))),IF($E$25&gt;2.25,IF($E$10="Simpelt understøttet",ROUNDDOWN(((2*V52)/$E$4-M51)/($E$40),5),IF($E$10="Mellemunderstøttet",ROUNDDOWN((V52/(0.5*$E$4-(1/(8*$E$4))*(($E$4^3+$E$6^3)/($E$4+$E$6)))-M51)/($E$40),5))),10))))</f>
        <v>10</v>
      </c>
      <c r="O63" s="42">
        <f>IF('Input &amp; Output'!$C$23="Ja",10,IF($E$13="Intet krav",10,IF(Beregninger!$E$13="BS60",IF($E$10="Simpelt understøttet",10,IF($E$10="Mellemunderstøttet",ROUNDDOWN(((W52/(0.5*($E$4+$E$6)+(1/8)*(($E$4^3+$E$6^3)/($E$4+$E$6))*(1/$E$4+1/$E$6)))-M51)/($E$40),5))),IF($E$25&gt;2.25,IF($E$10="Simpelt understøttet",10,IF($E$10="Mellemunderstøttet",ROUNDDOWN(((W52/(0.5*($E$4+$E$6)+(1/8)*(($E$4^3+$E$6^3)/($E$4+$E$6))*(1/$E$4+1/$E$6)))-M51)/($E$40),5))),10))))</f>
        <v>10</v>
      </c>
      <c r="P63" s="42">
        <f aca="true" t="shared" si="10" ref="P63:P68">IF(B63="-","-",IF(C63="-","-",IF(K63="-","-",IF(L63="-","-",MIN(D63:O63)))))</f>
        <v>0.34353</v>
      </c>
      <c r="Q63" s="95">
        <f aca="true" t="shared" si="11" ref="Q63:Q68">IF(P63="-","-",IF(P63&gt;=$E$7,B51*10^-6*$E$21/P63,"-"))</f>
        <v>41.405990743166534</v>
      </c>
      <c r="R63" s="38"/>
      <c r="S63" s="38" t="str">
        <f aca="true" t="shared" si="12" ref="S63:S68">IF(MIN(D63:E63)=P63,$D$61,IF(MIN(F63:I63)=P63,"Reaktion",IF(J63=P63,$J$61,IF(MIN(K63:L63)=P63,$K$61))))</f>
        <v>Deformation</v>
      </c>
      <c r="U63" s="10" t="s">
        <v>341</v>
      </c>
      <c r="V63" s="10" t="s">
        <v>165</v>
      </c>
      <c r="W63" s="18" t="s">
        <v>164</v>
      </c>
      <c r="X63" s="10" t="s">
        <v>165</v>
      </c>
      <c r="Y63" s="18" t="s">
        <v>164</v>
      </c>
      <c r="Z63" s="10" t="s">
        <v>165</v>
      </c>
      <c r="AA63" s="18" t="s">
        <v>164</v>
      </c>
      <c r="AD63" s="28" t="s">
        <v>342</v>
      </c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8"/>
      <c r="BB63" s="8"/>
      <c r="BC63" s="2"/>
      <c r="BD63" s="2"/>
      <c r="BE63" s="2"/>
    </row>
    <row r="64" spans="1:57" ht="18">
      <c r="A64" s="3" t="s">
        <v>26</v>
      </c>
      <c r="B64" s="10" t="str">
        <f>IF($E$12&gt;=0.25,"OK","-")</f>
        <v>OK</v>
      </c>
      <c r="C64" s="13" t="str">
        <f>IF('Input &amp; Output'!$C$23="Ja","OK",IF($E$13="Intet krav","OK",IF($E$4&gt;18,"-",IF($E$13="BD60","-",IF($E$13="BS60","-",IF('Input &amp; Output'!$H$37="","OK","-"))))))</f>
        <v>OK</v>
      </c>
      <c r="D64" s="15">
        <f t="shared" si="4"/>
        <v>1.06599</v>
      </c>
      <c r="E64" s="15">
        <f t="shared" si="5"/>
        <v>1.67228</v>
      </c>
      <c r="F64" s="15">
        <f t="shared" si="6"/>
        <v>2.64631</v>
      </c>
      <c r="G64" s="15">
        <f t="shared" si="7"/>
        <v>8.70451</v>
      </c>
      <c r="H64" s="15">
        <f>IF($E$10="Simpelt understøttet",10,IF($E$10="Mellemunderstøttet",ROUNDDOWN((J52/(0.5*($E$4+$E$6)+(1/8)*(($E$4^3+$E$6^3)/(($E$4+$E$6))*(1/$E$4+1/$E$6)))-M52)/MAX($E$37,$E$38),5),"-"))</f>
        <v>10</v>
      </c>
      <c r="I64" s="15">
        <f t="shared" si="8"/>
        <v>10</v>
      </c>
      <c r="J64" s="138">
        <f t="shared" si="9"/>
        <v>0.45537</v>
      </c>
      <c r="K64" s="15">
        <f>IF('Input &amp; Output'!$C$21="Andet",10,IF($E$8=0.65,IF($E$9*$BA$66&gt;=MAX($E$41,$E$42),$V$65,"-"),IF($E$8=0.7,IF($E$9*$BA$67&gt;=MAX($E$41,$E$42),$X$65,"-"),IF($E$8=0.75,IF($E$9*$BA$68&gt;=MAX($E$41,$E$42),$Z$65,"-")))))</f>
        <v>1.55</v>
      </c>
      <c r="L64" s="13">
        <f>IF('Input &amp; Output'!$C$21="Andet",10,IF($E$8=0.65,IF($E$9*$BA$75&gt;=ABS($E$43),$W$65,"-"),IF($E$8=0.7,IF($E$9*$BA$76&gt;=ABS($E$43),$Y$65,"-"),IF($E$8=0.75,IF($E$9*$BA$77&gt;=ABS($E$43),$AA$65,"-")))))</f>
        <v>1.55</v>
      </c>
      <c r="M64" s="15">
        <f>IF('Input &amp; Output'!$C$23="Ja",10,IF($E$13="Intet krav",10,IF(Beregninger!$E$13="BS60",IF($E$10="Simpelt understøttet",ROUNDDOWN((8*U53/($E$4^2)-M52)/($E$40),5),IF($E$10="Mellemunderstøttet",MIN(ROUNDDOWN((8*U53*(($E$4+$E$6)/($E$4^3+$E$6^3))-M52)/($E$40),5),ROUNDDOWN(((($E$4^2)/8+(1/(128*($E$4^2)))*(($E$4^3+$E$6^3)/($E$4+$E$6))^2-(1/16)*(($E$4^3+$E$6^3)/($E$4+$E$6)))-M52)/($E$40),5)))),IF($E$25&gt;2.25,IF($E$10="Simpelt understøttet",ROUNDDOWN((8*U53/($E$4^2)-M52)/($E$40),5),IF($E$10="Mellemunderstøttet",MIN(ROUNDDOWN((8*U53*(($E$4+$E$6)/($E$4^3+$E$6^3))-M52)/($E$40),5),ROUNDDOWN(((($E$4^2)/8+(1/(128*($E$4^2)))*(($E$4^3+$E$6^3)/($E$4+$E$6))^2-(1/16)*(($E$4^3+$E$6^3)/($E$4+$E$6)))-M52)/($E$40),5)))),10))))</f>
        <v>10</v>
      </c>
      <c r="N64" s="15">
        <f>IF('Input &amp; Output'!$C$23="Ja",10,IF($E$13="Intet krav",10,IF(Beregninger!$E$13="BS60",IF($E$10="Simpelt understøttet",ROUNDDOWN(((2*V53)/$E$4-M52)/($E$40),5),IF($E$10="Mellemunderstøttet",ROUNDDOWN((V53/(0.5*$E$4-(1/(8*$E$4))*(($E$4^3+$E$6^3)/($E$4+$E$6)))-M52)/($E$40),5))),IF($E$25&gt;2.25,IF($E$10="Simpelt understøttet",ROUNDDOWN(((2*V53)/$E$4-M52)/($E$40),5),IF($E$10="Mellemunderstøttet",ROUNDDOWN((V53/(0.5*$E$4-(1/(8*$E$4))*(($E$4^3+$E$6^3)/($E$4+$E$6)))-M52)/($E$40),5))),10))))</f>
        <v>10</v>
      </c>
      <c r="O64" s="15">
        <f>IF('Input &amp; Output'!$C$23="Ja",10,IF($E$13="Intet krav",10,IF(Beregninger!$E$13="BS60",IF($E$10="Simpelt understøttet",10,IF($E$10="Mellemunderstøttet",ROUNDDOWN(((W53/(0.5*($E$4+$E$6)+(1/8)*(($E$4^3+$E$6^3)/($E$4+$E$6))*(1/$E$4+1/$E$6)))-M52)/($E$40),5))),IF($E$25&gt;2.25,IF($E$10="Simpelt understøttet",10,IF($E$10="Mellemunderstøttet",ROUNDDOWN(((W53/(0.5*($E$4+$E$6)+(1/8)*(($E$4^3+$E$6^3)/($E$4+$E$6))*(1/$E$4+1/$E$6)))-M52)/($E$40),5))),10))))</f>
        <v>10</v>
      </c>
      <c r="P64" s="15">
        <f t="shared" si="10"/>
        <v>0.45537</v>
      </c>
      <c r="Q64" s="84">
        <f t="shared" si="11"/>
        <v>41.64876913279311</v>
      </c>
      <c r="R64" s="38"/>
      <c r="S64" s="38" t="str">
        <f t="shared" si="12"/>
        <v>Deformation</v>
      </c>
      <c r="U64" s="163" t="s">
        <v>166</v>
      </c>
      <c r="V64" s="122" t="s">
        <v>167</v>
      </c>
      <c r="W64" s="121" t="s">
        <v>167</v>
      </c>
      <c r="X64" s="120" t="s">
        <v>167</v>
      </c>
      <c r="Y64" s="120" t="s">
        <v>167</v>
      </c>
      <c r="Z64" s="122" t="s">
        <v>167</v>
      </c>
      <c r="AA64" s="121" t="s">
        <v>167</v>
      </c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8"/>
      <c r="BB64" s="8"/>
      <c r="BC64" s="2"/>
      <c r="BD64" s="2"/>
      <c r="BE64" s="2"/>
    </row>
    <row r="65" spans="1:53" ht="15">
      <c r="A65" s="3" t="s">
        <v>27</v>
      </c>
      <c r="B65" s="10" t="str">
        <f>IF($E$12&gt;=0.2,"OK","-")</f>
        <v>OK</v>
      </c>
      <c r="C65" s="13" t="str">
        <f>IF('Input &amp; Output'!$C$23="Ja","OK",IF($E$13="Intet krav","OK",IF($E$4&gt;18,"-",IF('Input &amp; Output'!$H$37="","OK","-"))))</f>
        <v>OK</v>
      </c>
      <c r="D65" s="15">
        <f t="shared" si="4"/>
        <v>1.08634</v>
      </c>
      <c r="E65" s="15">
        <f t="shared" si="5"/>
        <v>1.66685</v>
      </c>
      <c r="F65" s="15">
        <f t="shared" si="6"/>
        <v>1.48953</v>
      </c>
      <c r="G65" s="15">
        <f t="shared" si="7"/>
        <v>4.29032</v>
      </c>
      <c r="H65" s="15">
        <f>IF($E$10="Simpelt understøttet",10,IF($E$10="Mellemunderstøttet",ROUNDDOWN((J53/(0.5*($E$4+$E$6)+(1/8)*(($E$4^3+$E$6^3)/(($E$4+$E$6))*(1/$E$4+1/$E$6)))-M53)/MAX($E$37,$E$38),5),"-"))</f>
        <v>10</v>
      </c>
      <c r="I65" s="15">
        <f t="shared" si="8"/>
        <v>10</v>
      </c>
      <c r="J65" s="138">
        <f t="shared" si="9"/>
        <v>0.84998</v>
      </c>
      <c r="K65" s="15">
        <f>IF('Input &amp; Output'!$C$21="Andet",10,IF($E$8=0.65,IF($E$9*$BA$66&gt;=MAX($E$41,$E$42),$V$65,"-"),IF($E$8=0.7,IF($E$9*$BA$67&gt;=MAX($E$41,$E$42),$X$65,"-"),IF($E$8=0.75,IF($E$9*$BA$68&gt;=MAX($E$41,$E$42),$Z$65,"-")))))</f>
        <v>1.55</v>
      </c>
      <c r="L65" s="13">
        <f>IF('Input &amp; Output'!$C$21="Andet",10,IF($E$8=0.65,IF($E$9*$BA$75&gt;=ABS($E$43),$W$65,"-"),IF($E$8=0.7,IF($E$9*$BA$76&gt;=ABS($E$43),$Y$65,"-"),IF($E$8=0.75,IF($E$9*$BA$77&gt;=ABS($E$43),$AA$65,"-")))))</f>
        <v>1.55</v>
      </c>
      <c r="M65" s="15">
        <f>IF('Input &amp; Output'!$C$23="Ja",10,IF($E$13="Intet krav",10,IF(Beregninger!$E$13="BS60",IF($E$10="Simpelt understøttet",ROUNDDOWN((8*U54/($E$4^2)-M53)/($E$40),5),IF($E$10="Mellemunderstøttet",MIN(ROUNDDOWN((8*U54*(($E$4+$E$6)/($E$4^3+$E$6^3))-M53)/($E$40),5),ROUNDDOWN(((($E$4^2)/8+(1/(128*($E$4^2)))*(($E$4^3+$E$6^3)/($E$4+$E$6))^2-(1/16)*(($E$4^3+$E$6^3)/($E$4+$E$6)))-M53)/($E$40),5)))),IF($E$25&gt;2.25,IF($E$10="Simpelt understøttet",ROUNDDOWN((8*U54/($E$4^2)-M53)/($E$40),5),IF($E$10="Mellemunderstøttet",MIN(ROUNDDOWN((8*U54*(($E$4+$E$6)/($E$4^3+$E$6^3))-M53)/($E$40),5),ROUNDDOWN(((($E$4^2)/8+(1/(128*($E$4^2)))*(($E$4^3+$E$6^3)/($E$4+$E$6))^2-(1/16)*(($E$4^3+$E$6^3)/($E$4+$E$6)))-M53)/($E$40),5)))),10))))</f>
        <v>10</v>
      </c>
      <c r="N65" s="15">
        <f>IF('Input &amp; Output'!$C$23="Ja",10,IF($E$13="Intet krav",10,IF(Beregninger!$E$13="BS60",IF($E$10="Simpelt understøttet",ROUNDDOWN(((2*V54)/$E$4-M53)/($E$40),5),IF($E$10="Mellemunderstøttet",ROUNDDOWN((V54/(0.5*$E$4-(1/(8*$E$4))*(($E$4^3+$E$6^3)/($E$4+$E$6)))-M53)/($E$40),5))),IF($E$25&gt;2.25,IF($E$10="Simpelt understøttet",ROUNDDOWN(((2*V54)/$E$4-M53)/($E$40),5),IF($E$10="Mellemunderstøttet",ROUNDDOWN((V54/(0.5*$E$4-(1/(8*$E$4))*(($E$4^3+$E$6^3)/($E$4+$E$6)))-M53)/($E$40),5))),10))))</f>
        <v>10</v>
      </c>
      <c r="O65" s="15">
        <f>IF('Input &amp; Output'!$C$23="Ja",10,IF($E$13="Intet krav",10,IF(Beregninger!$E$13="BS60",IF($E$10="Simpelt understøttet",10,IF($E$10="Mellemunderstøttet",ROUNDDOWN(((W54/(0.5*($E$4+$E$6)+(1/8)*(($E$4^3+$E$6^3)/($E$4+$E$6))*(1/$E$4+1/$E$6)))-M53)/($E$40),5))),IF($E$25&gt;2.25,IF($E$10="Simpelt understøttet",10,IF($E$10="Mellemunderstøttet",ROUNDDOWN(((W54/(0.5*($E$4+$E$6)+(1/8)*(($E$4^3+$E$6^3)/($E$4+$E$6))*(1/$E$4+1/$E$6)))-M53)/($E$40),5))),10))))</f>
        <v>10</v>
      </c>
      <c r="P65" s="15">
        <f t="shared" si="10"/>
        <v>0.84998</v>
      </c>
      <c r="Q65" s="84">
        <f t="shared" si="11"/>
        <v>19.50540012706181</v>
      </c>
      <c r="R65" s="38"/>
      <c r="S65" s="38" t="str">
        <f t="shared" si="12"/>
        <v>Deformation</v>
      </c>
      <c r="U65" s="71">
        <v>3</v>
      </c>
      <c r="V65" s="127">
        <f>LOOKUP(MAX(E41,E42)/$E$9,AE66:BA66,AE65:BA65)-0.05</f>
        <v>1.55</v>
      </c>
      <c r="W65" s="196">
        <f>LOOKUP(ABS(E43)/E9,AE75:BA75,AE74:BA74)-0.05</f>
        <v>1.55</v>
      </c>
      <c r="X65" s="126">
        <f>LOOKUP(MAX(E41,E42)/$E$9,AE67:BA67,AE65:BA65)-0.05</f>
        <v>1.65</v>
      </c>
      <c r="Y65" s="126">
        <f>LOOKUP(ABS(E43)/E9,AE76:BA76,AE74:BA74)-0.05</f>
        <v>1.65</v>
      </c>
      <c r="Z65" s="127">
        <f>LOOKUP(MAX(E41,E42)/$E$9,AE68:BA68,AE65:BA65)-0.05</f>
        <v>1.75</v>
      </c>
      <c r="AA65" s="196">
        <f>LOOKUP(ABS(E43)/E9,AE77:BA77,AE74:BA74)-0.05</f>
        <v>1.7</v>
      </c>
      <c r="AD65" s="192" t="s">
        <v>343</v>
      </c>
      <c r="AE65" s="195">
        <v>3</v>
      </c>
      <c r="AF65" s="126">
        <v>1.8</v>
      </c>
      <c r="AG65" s="126">
        <v>1.75</v>
      </c>
      <c r="AH65" s="126">
        <v>1.7</v>
      </c>
      <c r="AI65" s="126">
        <v>1.65</v>
      </c>
      <c r="AJ65" s="126">
        <v>1.6</v>
      </c>
      <c r="AK65" s="126">
        <v>1.55</v>
      </c>
      <c r="AL65" s="126">
        <v>1.5</v>
      </c>
      <c r="AM65" s="126">
        <v>1.45</v>
      </c>
      <c r="AN65" s="126">
        <v>1.4</v>
      </c>
      <c r="AO65" s="126">
        <v>1.35</v>
      </c>
      <c r="AP65" s="126">
        <v>1.3</v>
      </c>
      <c r="AQ65" s="126">
        <v>1.25</v>
      </c>
      <c r="AR65" s="126">
        <v>1.2</v>
      </c>
      <c r="AS65" s="126">
        <v>1.15</v>
      </c>
      <c r="AT65" s="126">
        <v>1.1</v>
      </c>
      <c r="AU65" s="126">
        <v>1.05</v>
      </c>
      <c r="AV65" s="126">
        <v>1</v>
      </c>
      <c r="AW65" s="126">
        <v>0.95</v>
      </c>
      <c r="AX65" s="126">
        <v>0.9</v>
      </c>
      <c r="AY65" s="126">
        <v>0.85</v>
      </c>
      <c r="AZ65" s="126">
        <v>0.8</v>
      </c>
      <c r="BA65" s="196">
        <v>0</v>
      </c>
    </row>
    <row r="66" spans="1:53" ht="15">
      <c r="A66" s="3" t="s">
        <v>28</v>
      </c>
      <c r="B66" s="10" t="str">
        <f>IF($E$12&gt;=0.2,"OK","-")</f>
        <v>OK</v>
      </c>
      <c r="C66" s="13" t="str">
        <f>IF('Input &amp; Output'!$C$23="Ja","OK",IF($E$13="Intet krav","OK",IF($E$4&gt;18,"-",IF('Input &amp; Output'!$H$37="","OK","-"))))</f>
        <v>OK</v>
      </c>
      <c r="D66" s="15">
        <f t="shared" si="4"/>
        <v>1.71541</v>
      </c>
      <c r="E66" s="15">
        <f t="shared" si="5"/>
        <v>2.57668</v>
      </c>
      <c r="F66" s="15">
        <f t="shared" si="6"/>
        <v>2.62938</v>
      </c>
      <c r="G66" s="15">
        <f t="shared" si="7"/>
        <v>9.59677</v>
      </c>
      <c r="H66" s="15">
        <f>IF($E$10="Simpelt understøttet",10,IF($E$10="Mellemunderstøttet",ROUNDDOWN((J54/(0.5*($E$4+$E$6)+(1/8)*(($E$4^3+$E$6^3)/(($E$4+$E$6))*(1/$E$4+1/$E$6)))-M54)/MAX($E$37,$E$38),5),"-"))</f>
        <v>10</v>
      </c>
      <c r="I66" s="15">
        <f t="shared" si="8"/>
        <v>10</v>
      </c>
      <c r="J66" s="138">
        <f t="shared" si="9"/>
        <v>1.16681</v>
      </c>
      <c r="K66" s="15">
        <f>IF('Input &amp; Output'!$C$21="Andet",10,IF($E$8=0.65,IF($E$9*$BA$66&gt;=MAX($E$41,$E$42),$V$65,"-"),IF($E$8=0.7,IF($E$9*$BA$67&gt;=MAX($E$41,$E$42),$X$65,"-"),IF($E$8=0.75,IF($E$9*$BA$68&gt;=MAX($E$41,$E$42),$Z$65,"-")))))</f>
        <v>1.55</v>
      </c>
      <c r="L66" s="13">
        <f>IF('Input &amp; Output'!$C$21="Andet",10,IF($E$8=0.65,IF($E$9*$BA$75&gt;=ABS($E$43),$W$65,"-"),IF($E$8=0.7,IF($E$9*$BA$76&gt;=ABS($E$43),$Y$65,"-"),IF($E$8=0.75,IF($E$9*$BA$77&gt;=ABS($E$43),$AA$65,"-")))))</f>
        <v>1.55</v>
      </c>
      <c r="M66" s="15">
        <f>IF('Input &amp; Output'!$C$23="Ja",10,IF($E$13="Intet krav",10,IF(Beregninger!$E$13="BS60",IF($E$10="Simpelt understøttet",ROUNDDOWN((8*U55/($E$4^2)-M54)/($E$40),5),IF($E$10="Mellemunderstøttet",MIN(ROUNDDOWN((8*U55*(($E$4+$E$6)/($E$4^3+$E$6^3))-M54)/($E$40),5),ROUNDDOWN(((($E$4^2)/8+(1/(128*($E$4^2)))*(($E$4^3+$E$6^3)/($E$4+$E$6))^2-(1/16)*(($E$4^3+$E$6^3)/($E$4+$E$6)))-M54)/($E$40),5)))),IF($E$25&gt;2.25,IF($E$10="Simpelt understøttet",ROUNDDOWN((8*U55/($E$4^2)-M54)/($E$40),5),IF($E$10="Mellemunderstøttet",MIN(ROUNDDOWN((8*U55*(($E$4+$E$6)/($E$4^3+$E$6^3))-M54)/($E$40),5),ROUNDDOWN(((($E$4^2)/8+(1/(128*($E$4^2)))*(($E$4^3+$E$6^3)/($E$4+$E$6))^2-(1/16)*(($E$4^3+$E$6^3)/($E$4+$E$6)))-M54)/($E$40),5)))),10))))</f>
        <v>10</v>
      </c>
      <c r="N66" s="15">
        <f>IF('Input &amp; Output'!$C$23="Ja",10,IF($E$13="Intet krav",10,IF(Beregninger!$E$13="BS60",IF($E$10="Simpelt understøttet",ROUNDDOWN(((2*V55)/$E$4-M54)/($E$40),5),IF($E$10="Mellemunderstøttet",ROUNDDOWN((V55/(0.5*$E$4-(1/(8*$E$4))*(($E$4^3+$E$6^3)/($E$4+$E$6)))-M54)/($E$40),5))),IF($E$25&gt;2.25,IF($E$10="Simpelt understøttet",ROUNDDOWN(((2*V55)/$E$4-M54)/($E$40),5),IF($E$10="Mellemunderstøttet",ROUNDDOWN((V55/(0.5*$E$4-(1/(8*$E$4))*(($E$4^3+$E$6^3)/($E$4+$E$6)))-M54)/($E$40),5))),10))))</f>
        <v>10</v>
      </c>
      <c r="O66" s="15">
        <f>IF('Input &amp; Output'!$C$23="Ja",10,IF($E$13="Intet krav",10,IF(Beregninger!$E$13="BS60",IF($E$10="Simpelt understøttet",10,IF($E$10="Mellemunderstøttet",ROUNDDOWN(((W55/(0.5*($E$4+$E$6)+(1/8)*(($E$4^3+$E$6^3)/($E$4+$E$6))*(1/$E$4+1/$E$6)))-M54)/($E$40),5))),IF($E$25&gt;2.25,IF($E$10="Simpelt understøttet",10,IF($E$10="Mellemunderstøttet",ROUNDDOWN(((W55/(0.5*($E$4+$E$6)+(1/8)*(($E$4^3+$E$6^3)/($E$4+$E$6))*(1/$E$4+1/$E$6)))-M54)/($E$40),5))),10))))</f>
        <v>10</v>
      </c>
      <c r="P66" s="15">
        <f t="shared" si="10"/>
        <v>1.16681</v>
      </c>
      <c r="Q66" s="84">
        <f t="shared" si="11"/>
        <v>18.94532957379522</v>
      </c>
      <c r="R66" s="38"/>
      <c r="S66" s="38" t="str">
        <f t="shared" si="12"/>
        <v>Deformation</v>
      </c>
      <c r="U66" s="125"/>
      <c r="V66" s="125"/>
      <c r="W66" s="125"/>
      <c r="X66" s="125"/>
      <c r="Y66" s="125"/>
      <c r="Z66" s="125"/>
      <c r="AA66" s="125"/>
      <c r="AB66" s="125"/>
      <c r="AD66" s="68">
        <v>0.65</v>
      </c>
      <c r="AE66" s="157">
        <v>0</v>
      </c>
      <c r="AF66" s="42">
        <v>0.9</v>
      </c>
      <c r="AG66" s="42">
        <v>1.01</v>
      </c>
      <c r="AH66" s="42">
        <v>1.12</v>
      </c>
      <c r="AI66" s="42">
        <v>1.25</v>
      </c>
      <c r="AJ66" s="42">
        <v>1.4</v>
      </c>
      <c r="AK66" s="42">
        <v>1.61</v>
      </c>
      <c r="AL66" s="42">
        <v>1.83</v>
      </c>
      <c r="AM66" s="42">
        <v>2.09</v>
      </c>
      <c r="AN66" s="42">
        <v>2.37</v>
      </c>
      <c r="AO66" s="42">
        <v>2.7</v>
      </c>
      <c r="AP66" s="42">
        <v>3.06</v>
      </c>
      <c r="AQ66" s="42">
        <v>3.48</v>
      </c>
      <c r="AR66" s="42">
        <v>3.96</v>
      </c>
      <c r="AS66" s="42">
        <v>4.5</v>
      </c>
      <c r="AT66" s="42">
        <v>5.13</v>
      </c>
      <c r="AU66" s="42">
        <v>5.86</v>
      </c>
      <c r="AV66" s="42">
        <v>6.71</v>
      </c>
      <c r="AW66" s="42">
        <v>7.71</v>
      </c>
      <c r="AX66" s="42">
        <v>8.89</v>
      </c>
      <c r="AY66" s="42">
        <v>10</v>
      </c>
      <c r="AZ66" s="42">
        <v>10</v>
      </c>
      <c r="BA66" s="43">
        <v>10</v>
      </c>
    </row>
    <row r="67" spans="1:64" ht="15">
      <c r="A67" s="3" t="s">
        <v>29</v>
      </c>
      <c r="B67" s="10" t="str">
        <f>IF($E$12&gt;=0,"OK","-")</f>
        <v>OK</v>
      </c>
      <c r="C67" s="13" t="str">
        <f>IF('Input &amp; Output'!$C$23="Ja","OK",IF($E$13="Intet krav","OK",IF($E$4&gt;18,"-",IF('Input &amp; Output'!$H$37="","OK","-"))))</f>
        <v>OK</v>
      </c>
      <c r="D67" s="15">
        <f t="shared" si="4"/>
        <v>1.29407</v>
      </c>
      <c r="E67" s="15">
        <f t="shared" si="5"/>
        <v>1.95849</v>
      </c>
      <c r="F67" s="15">
        <f t="shared" si="6"/>
        <v>1.48319</v>
      </c>
      <c r="G67" s="15">
        <f t="shared" si="7"/>
        <v>3.63339</v>
      </c>
      <c r="H67" s="15">
        <f>IF($E$10="Simpelt understøttet",10,IF($E$10="Mellemunderstøttet",ROUNDDOWN((J55/(0.5*($E$4+$E$6)+(1/8)*(($E$4^3+$E$6^3)/(($E$4+$E$6))*(1/$E$4+1/$E$6)))-M55)/MAX($E$37,$E$38),5),"-"))</f>
        <v>10</v>
      </c>
      <c r="I67" s="15">
        <f t="shared" si="8"/>
        <v>10</v>
      </c>
      <c r="J67" s="138">
        <f t="shared" si="9"/>
        <v>1.19652</v>
      </c>
      <c r="K67" s="15">
        <f>IF('Input &amp; Output'!$C$21="Andet",10,IF($E$8=0.65,IF($E$9*$BA$66&gt;=MAX($E$41,$E$42),$V$65,"-"),IF($E$8=0.7,IF($E$9*$BA$67&gt;=MAX($E$41,$E$42),$X$65,"-"),IF($E$8=0.75,IF($E$9*$BA$68&gt;=MAX($E$41,$E$42),$Z$65,"-")))))</f>
        <v>1.55</v>
      </c>
      <c r="L67" s="13">
        <f>IF('Input &amp; Output'!$C$21="Andet",10,IF($E$8=0.65,IF($E$9*$BA$75&gt;=ABS($E$43),$W$65,"-"),IF($E$8=0.7,IF($E$9*$BA$76&gt;=ABS($E$43),$Y$65,"-"),IF($E$8=0.75,IF($E$9*$BA$77&gt;=ABS($E$43),$AA$65,"-")))))</f>
        <v>1.55</v>
      </c>
      <c r="M67" s="15">
        <f>IF('Input &amp; Output'!$C$23="Ja",10,IF($E$13="Intet krav",10,IF(Beregninger!$E$13="BS60",IF($E$10="Simpelt understøttet",ROUNDDOWN((8*U56/($E$4^2)-M55)/($E$40),5),IF($E$10="Mellemunderstøttet",MIN(ROUNDDOWN((8*U56*(($E$4+$E$6)/($E$4^3+$E$6^3))-M55)/($E$40),5),ROUNDDOWN(((($E$4^2)/8+(1/(128*($E$4^2)))*(($E$4^3+$E$6^3)/($E$4+$E$6))^2-(1/16)*(($E$4^3+$E$6^3)/($E$4+$E$6)))-M55)/($E$40),5)))),IF($E$25&gt;2.25,IF($E$10="Simpelt understøttet",ROUNDDOWN((8*U56/($E$4^2)-M55)/($E$40),5),IF($E$10="Mellemunderstøttet",MIN(ROUNDDOWN((8*U56*(($E$4+$E$6)/($E$4^3+$E$6^3))-M55)/($E$40),5),ROUNDDOWN(((($E$4^2)/8+(1/(128*($E$4^2)))*(($E$4^3+$E$6^3)/($E$4+$E$6))^2-(1/16)*(($E$4^3+$E$6^3)/($E$4+$E$6)))-M55)/($E$40),5)))),10))))</f>
        <v>10</v>
      </c>
      <c r="N67" s="15">
        <f>IF('Input &amp; Output'!$C$23="Ja",10,IF($E$13="Intet krav",10,IF(Beregninger!$E$13="BS60",IF($E$10="Simpelt understøttet",ROUNDDOWN(((2*V56)/$E$4-M55)/($E$40),5),IF($E$10="Mellemunderstøttet",ROUNDDOWN((V56/(0.5*$E$4-(1/(8*$E$4))*(($E$4^3+$E$6^3)/($E$4+$E$6)))-M55)/($E$40),5))),IF($E$25&gt;2.25,IF($E$10="Simpelt understøttet",ROUNDDOWN(((2*V56)/$E$4-M55)/($E$40),5),IF($E$10="Mellemunderstøttet",ROUNDDOWN((V56/(0.5*$E$4-(1/(8*$E$4))*(($E$4^3+$E$6^3)/($E$4+$E$6)))-M55)/($E$40),5))),10))))</f>
        <v>10</v>
      </c>
      <c r="O67" s="15">
        <f>IF('Input &amp; Output'!$C$23="Ja",10,IF($E$13="Intet krav",10,IF(Beregninger!$E$13="BS60",IF($E$10="Simpelt understøttet",10,IF($E$10="Mellemunderstøttet",ROUNDDOWN(((W56/(0.5*($E$4+$E$6)+(1/8)*(($E$4^3+$E$6^3)/($E$4+$E$6))*(1/$E$4+1/$E$6)))-M55)/($E$40),5))),IF($E$25&gt;2.25,IF($E$10="Simpelt understøttet",10,IF($E$10="Mellemunderstøttet",ROUNDDOWN(((W56/(0.5*($E$4+$E$6)+(1/8)*(($E$4^3+$E$6^3)/($E$4+$E$6))*(1/$E$4+1/$E$6)))-M55)/($E$40),5))),10))))</f>
        <v>10</v>
      </c>
      <c r="P67" s="15">
        <f t="shared" si="10"/>
        <v>1.19652</v>
      </c>
      <c r="Q67" s="84">
        <f t="shared" si="11"/>
        <v>14.840286831812254</v>
      </c>
      <c r="R67" s="38"/>
      <c r="S67" s="38" t="str">
        <f t="shared" si="12"/>
        <v>Deformation</v>
      </c>
      <c r="T67" s="39"/>
      <c r="U67" s="13"/>
      <c r="V67" s="15"/>
      <c r="W67" s="15"/>
      <c r="X67" s="15"/>
      <c r="Y67" s="15"/>
      <c r="Z67" s="15"/>
      <c r="AA67" s="15"/>
      <c r="AB67" s="15"/>
      <c r="AD67" s="198">
        <v>0.7</v>
      </c>
      <c r="AE67" s="138">
        <v>0</v>
      </c>
      <c r="AF67" s="15">
        <v>1.13</v>
      </c>
      <c r="AG67" s="15">
        <v>1.24</v>
      </c>
      <c r="AH67" s="15">
        <v>1.37</v>
      </c>
      <c r="AI67" s="15">
        <v>1.51</v>
      </c>
      <c r="AJ67" s="15">
        <v>1.72</v>
      </c>
      <c r="AK67" s="15">
        <v>1.95</v>
      </c>
      <c r="AL67" s="15">
        <v>2.2</v>
      </c>
      <c r="AM67" s="15">
        <v>2.49</v>
      </c>
      <c r="AN67" s="15">
        <v>2.82</v>
      </c>
      <c r="AO67" s="15">
        <v>3.18</v>
      </c>
      <c r="AP67" s="15">
        <v>3.6</v>
      </c>
      <c r="AQ67" s="15">
        <v>4.07</v>
      </c>
      <c r="AR67" s="15">
        <v>4.61</v>
      </c>
      <c r="AS67" s="15">
        <v>5.23</v>
      </c>
      <c r="AT67" s="15">
        <v>5.94</v>
      </c>
      <c r="AU67" s="15">
        <v>6.76</v>
      </c>
      <c r="AV67" s="15">
        <v>7.72</v>
      </c>
      <c r="AW67" s="15">
        <v>8.85</v>
      </c>
      <c r="AX67" s="15">
        <v>10</v>
      </c>
      <c r="AY67" s="15">
        <v>10</v>
      </c>
      <c r="AZ67" s="15">
        <v>10</v>
      </c>
      <c r="BA67" s="22">
        <v>10</v>
      </c>
      <c r="BB67" s="8"/>
      <c r="BC67" s="8"/>
      <c r="BD67" s="8"/>
      <c r="BE67" s="125"/>
      <c r="BF67" s="125"/>
      <c r="BG67" s="125"/>
      <c r="BH67" s="125"/>
      <c r="BI67" s="125"/>
      <c r="BJ67" s="125"/>
      <c r="BK67" s="125"/>
      <c r="BL67" s="125"/>
    </row>
    <row r="68" spans="1:64" ht="15">
      <c r="A68" s="5" t="s">
        <v>30</v>
      </c>
      <c r="B68" s="11" t="str">
        <f>IF($E$12&gt;=0,"OK","-")</f>
        <v>OK</v>
      </c>
      <c r="C68" s="19" t="str">
        <f>IF('Input &amp; Output'!$C$23="Ja","OK",IF($E$13="Intet krav","OK",IF($E$4&gt;18,"-",IF('Input &amp; Output'!$H$37="","OK","-"))))</f>
        <v>OK</v>
      </c>
      <c r="D68" s="25">
        <f t="shared" si="4"/>
        <v>2.0433</v>
      </c>
      <c r="E68" s="25">
        <f t="shared" si="5"/>
        <v>3.03311</v>
      </c>
      <c r="F68" s="25">
        <f t="shared" si="6"/>
        <v>2.62091</v>
      </c>
      <c r="G68" s="25">
        <f t="shared" si="7"/>
        <v>8.12221</v>
      </c>
      <c r="H68" s="25">
        <f>IF($E$10="Simpelt understøttet",10,IF($E$10="Mellemunderstøttet",ROUNDDOWN((J56/(0.5*($E$4+$E$6)+(1/8)*(($E$4^3+$E$6^3)/(($E$4+$E$6))*(1/$E$4+1/$E$6)))-M56)/MAX($E$37,$E$38),5),"-"))</f>
        <v>10</v>
      </c>
      <c r="I68" s="25">
        <f t="shared" si="8"/>
        <v>10</v>
      </c>
      <c r="J68" s="165">
        <f t="shared" si="9"/>
        <v>1.63487</v>
      </c>
      <c r="K68" s="25">
        <f>IF('Input &amp; Output'!$C$21="Andet",10,IF($E$8=0.65,IF($E$9*$BA$66&gt;=MAX($E$41,$E$42),$V$65,"-"),IF($E$8=0.7,IF($E$9*$BA$67&gt;=MAX($E$41,$E$42),$X$65,"-"),IF($E$8=0.75,IF($E$9*$BA$68&gt;=MAX($E$41,$E$42),$Z$65,"-")))))</f>
        <v>1.55</v>
      </c>
      <c r="L68" s="19">
        <f>IF('Input &amp; Output'!$C$21="Andet",10,IF($E$8=0.65,IF($E$9*$BA$75&gt;=ABS($E$43),$W$65,"-"),IF($E$8=0.7,IF($E$9*$BA$76&gt;=ABS($E$43),$Y$65,"-"),IF($E$8=0.75,IF($E$9*$BA$77&gt;=ABS($E$43),$AA$65,"-")))))</f>
        <v>1.55</v>
      </c>
      <c r="M68" s="25">
        <f>IF('Input &amp; Output'!$C$23="Ja",10,IF($E$13="Intet krav",10,IF(Beregninger!$E$13="BS60",IF($E$10="Simpelt understøttet",ROUNDDOWN((8*U57/($E$4^2)-M56)/($E$40),5),IF($E$10="Mellemunderstøttet",MIN(ROUNDDOWN((8*U57*(($E$4+$E$6)/($E$4^3+$E$6^3))-M56)/($E$40),5),ROUNDDOWN(((($E$4^2)/8+(1/(128*($E$4^2)))*(($E$4^3+$E$6^3)/($E$4+$E$6))^2-(1/16)*(($E$4^3+$E$6^3)/($E$4+$E$6)))-M56)/($E$40),5)))),IF($E$25&gt;2.25,IF($E$10="Simpelt understøttet",ROUNDDOWN((8*U57/($E$4^2)-M56)/($E$40),5),IF($E$10="Mellemunderstøttet",MIN(ROUNDDOWN((8*U57*(($E$4+$E$6)/($E$4^3+$E$6^3))-M56)/($E$40),5),ROUNDDOWN(((($E$4^2)/8+(1/(128*($E$4^2)))*(($E$4^3+$E$6^3)/($E$4+$E$6))^2-(1/16)*(($E$4^3+$E$6^3)/($E$4+$E$6)))-M56)/($E$40),5)))),10))))</f>
        <v>10</v>
      </c>
      <c r="N68" s="25">
        <f>IF('Input &amp; Output'!$C$23="Ja",10,IF($E$13="Intet krav",10,IF(Beregninger!$E$13="BS60",IF($E$10="Simpelt understøttet",ROUNDDOWN(((2*V57)/$E$4-M56)/($E$40),5),IF($E$10="Mellemunderstøttet",ROUNDDOWN((V57/(0.5*$E$4-(1/(8*$E$4))*(($E$4^3+$E$6^3)/($E$4+$E$6)))-M56)/($E$40),5))),IF($E$25&gt;2.25,IF($E$10="Simpelt understøttet",ROUNDDOWN(((2*V57)/$E$4-M56)/($E$40),5),IF($E$10="Mellemunderstøttet",ROUNDDOWN((V57/(0.5*$E$4-(1/(8*$E$4))*(($E$4^3+$E$6^3)/($E$4+$E$6)))-M56)/($E$40),5))),10))))</f>
        <v>10</v>
      </c>
      <c r="O68" s="25">
        <f>IF('Input &amp; Output'!$C$23="Ja",10,IF($E$13="Intet krav",10,IF(Beregninger!$E$13="BS60",IF($E$10="Simpelt understøttet",10,IF($E$10="Mellemunderstøttet",ROUNDDOWN(((W57/(0.5*($E$4+$E$6)+(1/8)*(($E$4^3+$E$6^3)/($E$4+$E$6))*(1/$E$4+1/$E$6)))-M56)/($E$40),5))),IF($E$25&gt;2.25,IF($E$10="Simpelt understøttet",10,IF($E$10="Mellemunderstøttet",ROUNDDOWN(((W57/(0.5*($E$4+$E$6)+(1/8)*(($E$4^3+$E$6^3)/($E$4+$E$6))*(1/$E$4+1/$E$6)))-M56)/($E$40),5))),10))))</f>
        <v>10</v>
      </c>
      <c r="P68" s="25">
        <f t="shared" si="10"/>
        <v>1.55</v>
      </c>
      <c r="Q68" s="74">
        <f t="shared" si="11"/>
        <v>15.27458064516129</v>
      </c>
      <c r="R68" s="38"/>
      <c r="S68" s="38" t="str">
        <f t="shared" si="12"/>
        <v>Trapezplade</v>
      </c>
      <c r="AD68" s="69">
        <v>0.75</v>
      </c>
      <c r="AE68" s="165">
        <v>0</v>
      </c>
      <c r="AF68" s="25">
        <v>1.35</v>
      </c>
      <c r="AG68" s="25">
        <v>1.48</v>
      </c>
      <c r="AH68" s="25">
        <v>1.61</v>
      </c>
      <c r="AI68" s="25">
        <v>1.81</v>
      </c>
      <c r="AJ68" s="25">
        <v>2.04</v>
      </c>
      <c r="AK68" s="25">
        <v>2.3</v>
      </c>
      <c r="AL68" s="25">
        <v>2.58</v>
      </c>
      <c r="AM68" s="25">
        <v>2.91</v>
      </c>
      <c r="AN68" s="25">
        <v>3.27</v>
      </c>
      <c r="AO68" s="25">
        <v>3.68</v>
      </c>
      <c r="AP68" s="25">
        <v>4.15</v>
      </c>
      <c r="AQ68" s="25">
        <v>4.68</v>
      </c>
      <c r="AR68" s="25">
        <v>5.28</v>
      </c>
      <c r="AS68" s="25">
        <v>5.97</v>
      </c>
      <c r="AT68" s="25">
        <v>6.76</v>
      </c>
      <c r="AU68" s="25">
        <v>7.68</v>
      </c>
      <c r="AV68" s="25">
        <v>8.76</v>
      </c>
      <c r="AW68" s="25">
        <v>10</v>
      </c>
      <c r="AX68" s="25">
        <v>10</v>
      </c>
      <c r="AY68" s="25">
        <v>10</v>
      </c>
      <c r="AZ68" s="25">
        <v>10</v>
      </c>
      <c r="BA68" s="26">
        <v>10</v>
      </c>
      <c r="BB68" s="8"/>
      <c r="BC68" s="8"/>
      <c r="BD68" s="8"/>
      <c r="BE68" s="8"/>
      <c r="BF68" s="125"/>
      <c r="BG68" s="125"/>
      <c r="BH68" s="125"/>
      <c r="BI68" s="125"/>
      <c r="BJ68" s="125"/>
      <c r="BK68" s="125"/>
      <c r="BL68" s="125"/>
    </row>
    <row r="69" spans="1:61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U69" s="8"/>
      <c r="V69" s="13"/>
      <c r="W69" s="234"/>
      <c r="X69" s="234"/>
      <c r="Y69" s="234"/>
      <c r="Z69" s="234"/>
      <c r="AA69" s="234"/>
      <c r="AB69" s="234"/>
      <c r="AD69" s="8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  <c r="AV69" s="125"/>
      <c r="AW69" s="125"/>
      <c r="AX69" s="125"/>
      <c r="AY69" s="125"/>
      <c r="AZ69" s="125"/>
      <c r="BA69" s="125"/>
      <c r="BB69" s="8"/>
      <c r="BC69" s="8"/>
      <c r="BD69" s="8"/>
      <c r="BE69" s="8"/>
      <c r="BF69" s="125"/>
      <c r="BG69" s="125"/>
      <c r="BH69" s="125"/>
      <c r="BI69" s="125"/>
    </row>
    <row r="70" spans="1:61" ht="15">
      <c r="A70" s="28" t="s">
        <v>316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U70" s="8"/>
      <c r="V70" s="13"/>
      <c r="W70" s="13"/>
      <c r="X70" s="13"/>
      <c r="Y70" s="13"/>
      <c r="Z70" s="13"/>
      <c r="AA70" s="13"/>
      <c r="AB70" s="13"/>
      <c r="AD70" s="70" t="s">
        <v>162</v>
      </c>
      <c r="AE70" s="138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8"/>
      <c r="BC70" s="8"/>
      <c r="BD70" s="8"/>
      <c r="BE70" s="8"/>
      <c r="BF70" s="125"/>
      <c r="BG70" s="125"/>
      <c r="BH70" s="125"/>
      <c r="BI70" s="125"/>
    </row>
    <row r="71" spans="1:61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U71" s="8"/>
      <c r="V71" s="13"/>
      <c r="W71" s="13"/>
      <c r="X71" s="13"/>
      <c r="Y71" s="13"/>
      <c r="Z71" s="13"/>
      <c r="AA71" s="13"/>
      <c r="AB71" s="13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  <c r="BA71" s="125"/>
      <c r="BB71" s="8"/>
      <c r="BC71" s="8"/>
      <c r="BD71" s="8"/>
      <c r="BE71" s="8"/>
      <c r="BF71" s="125"/>
      <c r="BG71" s="125"/>
      <c r="BH71" s="125"/>
      <c r="BI71" s="125"/>
    </row>
    <row r="72" spans="1:57" ht="15">
      <c r="A72" s="6" t="s">
        <v>14</v>
      </c>
      <c r="B72" s="9" t="s">
        <v>126</v>
      </c>
      <c r="C72" s="16" t="s">
        <v>60</v>
      </c>
      <c r="D72" s="16" t="s">
        <v>328</v>
      </c>
      <c r="E72" s="44" t="s">
        <v>133</v>
      </c>
      <c r="F72" s="44" t="s">
        <v>231</v>
      </c>
      <c r="G72" s="44" t="s">
        <v>219</v>
      </c>
      <c r="H72" s="44" t="s">
        <v>313</v>
      </c>
      <c r="I72" s="44" t="s">
        <v>315</v>
      </c>
      <c r="J72" s="16" t="s">
        <v>42</v>
      </c>
      <c r="K72" s="17" t="s">
        <v>42</v>
      </c>
      <c r="U72" s="13"/>
      <c r="V72" s="13"/>
      <c r="W72" s="13"/>
      <c r="X72" s="13"/>
      <c r="Y72" s="13"/>
      <c r="Z72" s="13"/>
      <c r="AA72" s="13"/>
      <c r="AB72" s="13"/>
      <c r="AD72" s="28" t="s">
        <v>342</v>
      </c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8"/>
      <c r="BB72" s="8"/>
      <c r="BC72" s="2"/>
      <c r="BD72" s="2"/>
      <c r="BE72" s="2"/>
    </row>
    <row r="73" spans="1:57" ht="15">
      <c r="A73" s="3" t="s">
        <v>24</v>
      </c>
      <c r="B73" s="10" t="s">
        <v>127</v>
      </c>
      <c r="C73" s="13" t="s">
        <v>327</v>
      </c>
      <c r="D73" s="13"/>
      <c r="E73" s="12" t="s">
        <v>134</v>
      </c>
      <c r="F73" s="12" t="s">
        <v>232</v>
      </c>
      <c r="G73" s="12" t="s">
        <v>220</v>
      </c>
      <c r="H73" s="12" t="s">
        <v>314</v>
      </c>
      <c r="I73" s="12" t="s">
        <v>314</v>
      </c>
      <c r="J73" s="13" t="s">
        <v>61</v>
      </c>
      <c r="K73" s="18" t="s">
        <v>66</v>
      </c>
      <c r="T73" s="80"/>
      <c r="U73" s="12"/>
      <c r="V73" s="12"/>
      <c r="W73" s="130"/>
      <c r="X73" s="130"/>
      <c r="Y73" s="130"/>
      <c r="Z73" s="130"/>
      <c r="AA73" s="130"/>
      <c r="AB73" s="130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8"/>
      <c r="BB73" s="8"/>
      <c r="BC73" s="2"/>
      <c r="BD73" s="2"/>
      <c r="BE73" s="2"/>
    </row>
    <row r="74" spans="1:53" ht="15">
      <c r="A74" s="5"/>
      <c r="B74" s="10"/>
      <c r="C74" s="13" t="s">
        <v>21</v>
      </c>
      <c r="D74" s="13" t="s">
        <v>21</v>
      </c>
      <c r="E74" s="12" t="s">
        <v>21</v>
      </c>
      <c r="F74" s="12" t="s">
        <v>233</v>
      </c>
      <c r="G74" s="12" t="s">
        <v>21</v>
      </c>
      <c r="H74" s="13" t="s">
        <v>21</v>
      </c>
      <c r="I74" s="13" t="s">
        <v>21</v>
      </c>
      <c r="J74" s="13" t="s">
        <v>21</v>
      </c>
      <c r="K74" s="18" t="s">
        <v>63</v>
      </c>
      <c r="U74" s="13"/>
      <c r="V74" s="15"/>
      <c r="W74" s="15"/>
      <c r="X74" s="15"/>
      <c r="Y74" s="15"/>
      <c r="Z74" s="15"/>
      <c r="AA74" s="15"/>
      <c r="AB74" s="15"/>
      <c r="AD74" s="192" t="s">
        <v>343</v>
      </c>
      <c r="AE74" s="193">
        <v>3</v>
      </c>
      <c r="AF74" s="42">
        <v>1.8</v>
      </c>
      <c r="AG74" s="42">
        <v>1.75</v>
      </c>
      <c r="AH74" s="42">
        <v>1.7</v>
      </c>
      <c r="AI74" s="42">
        <v>1.65</v>
      </c>
      <c r="AJ74" s="42">
        <v>1.6</v>
      </c>
      <c r="AK74" s="42">
        <v>1.55</v>
      </c>
      <c r="AL74" s="42">
        <v>1.5</v>
      </c>
      <c r="AM74" s="42">
        <v>1.45</v>
      </c>
      <c r="AN74" s="42">
        <v>1.4</v>
      </c>
      <c r="AO74" s="42">
        <v>1.35</v>
      </c>
      <c r="AP74" s="42">
        <v>1.3</v>
      </c>
      <c r="AQ74" s="42">
        <v>1.25</v>
      </c>
      <c r="AR74" s="42">
        <v>1.2</v>
      </c>
      <c r="AS74" s="42">
        <v>1.15</v>
      </c>
      <c r="AT74" s="42">
        <v>1.1</v>
      </c>
      <c r="AU74" s="42">
        <v>1.05</v>
      </c>
      <c r="AV74" s="42">
        <v>1</v>
      </c>
      <c r="AW74" s="42">
        <v>0.95</v>
      </c>
      <c r="AX74" s="42">
        <v>0.9</v>
      </c>
      <c r="AY74" s="42">
        <v>0.85</v>
      </c>
      <c r="AZ74" s="42">
        <v>0.8</v>
      </c>
      <c r="BA74" s="43">
        <v>0</v>
      </c>
    </row>
    <row r="75" spans="1:53" ht="15">
      <c r="A75" s="10" t="s">
        <v>25</v>
      </c>
      <c r="B75" s="7">
        <f aca="true" t="shared" si="13" ref="B75:B80">IF(Q63="-",3,IF(Q63=MIN($Q$63:$Q$68),1,2))</f>
        <v>2</v>
      </c>
      <c r="C75" s="156">
        <f aca="true" t="shared" si="14" ref="C75:C80">IF(Q63="-","-",IF($E$10="Simpelt understøttet",(5/384)*((M51)*(1+2*(D51/E51))*($E$4*10^3)^4)/($E$14*F51),IF($E$10="Mellemunderstøttet",(5/384)*((M51)*(1+2*(D51/E51))*($E$5*10^3)^4)/($E$14*F51))))</f>
        <v>20.31935302856074</v>
      </c>
      <c r="D75" s="156">
        <f aca="true" t="shared" si="15" ref="D75:D80">IF(C75="-","-",IF($E$22="Ja",MIN(C75,300),0))</f>
        <v>20.31935302856074</v>
      </c>
      <c r="E75" s="156">
        <f aca="true" t="shared" si="16" ref="E75:E80">IF(D75="-","-",D75/(1+2*(D51/E51)))</f>
        <v>17.452933444398166</v>
      </c>
      <c r="F75" s="157">
        <f aca="true" t="shared" si="17" ref="F75:F80">IF(Q63="-","-",IF($E$10="Simpelt understøttet",(384/5)*(D75*$E$14*2*D51/(($E$4*10^3)^4)),IF($E$10="Mellemunderstøttet",(384/5)*(D75*$E$14*2*D51/(($E$5*10^3)^4)))))</f>
        <v>0.026708660703097062</v>
      </c>
      <c r="G75" s="158">
        <f>IF(Q63="-","-",IF($E$10="Simpelt understøttet",ROUNDDOWN(1000*(AA50/((1.16*($E$4/2)*(MIN(8*G51/($E$4^2),2*I51/$E$4)+F75))/(2*200*10^-3)+($E$23/2))),0),IF($E$10="Mellemunderstøttet",ROUNDDOWN(1000*(AA50/((1.16*($E$4/2)*(MIN(8*G51/($E$4^2),2*I51/$E$4,(4/5)*J51/$E$4)+F75))/(2*200*10^-3)+($E$23/2))),0))))</f>
        <v>166</v>
      </c>
      <c r="H75" s="83">
        <f aca="true" t="shared" si="18" ref="H75:H80">IF(Q63="-","-",IF($E$10="Simpelt understøttet",(5/384)*(P63*MAX($E$34,$E$35,ABS($E$36))*($E$4*10^3)^4)/($E$14*F51),IF($E$10="Mellemunderstøttet",(P63*MAX($E$34,$E$35,ABS($E$36))/($E$14*F51))*(0.01287*(($E$4*10^3)^4)-0.0598*(1/8)*((($E$4*10^3)^3+($E$6*10^3)^3)/($E$4*10^3+$E$6*10^3))*(($E$4*10^3)^2)),"-")))</f>
        <v>59.99929558963734</v>
      </c>
      <c r="I75" s="83">
        <f aca="true" t="shared" si="19" ref="I75:I80">IF(Q63="-","-",IF($E$10="Simpelt understøttet",(5/384)*((P63*MAX($E$34,$E$35)+M51)*($E$4*10^3)^4)/($E$14*F51),IF($E$10="Mellemunderstøttet",((P63*MAX($E$34,$E$35)+M51)/($E$14*F51))*(0.01287*(($E$4*10^3)^4)-0.0598*(1/8)*((($E$4*10^3)^3+($E$6*10^3)^3)/($E$4*10^3+$E$6*10^3))*(($E$4*10^3)^2)),"-")))</f>
        <v>77.4522290340355</v>
      </c>
      <c r="J75" s="156">
        <f aca="true" t="shared" si="20" ref="J75:J80">IF($E$22="Ja",H75,I75)</f>
        <v>59.99929558963734</v>
      </c>
      <c r="K75" s="159">
        <f aca="true" t="shared" si="21" ref="K75:K80">IF(J75="-","-",$E$4*10^3/J75)</f>
        <v>200.00234806210884</v>
      </c>
      <c r="U75" s="13"/>
      <c r="V75" s="15"/>
      <c r="W75" s="15"/>
      <c r="X75" s="15"/>
      <c r="Y75" s="15"/>
      <c r="Z75" s="15"/>
      <c r="AA75" s="15"/>
      <c r="AB75" s="15"/>
      <c r="AD75" s="29">
        <v>0.65</v>
      </c>
      <c r="AE75" s="193">
        <v>0</v>
      </c>
      <c r="AF75" s="42">
        <v>1.02</v>
      </c>
      <c r="AG75" s="42">
        <v>1.12</v>
      </c>
      <c r="AH75" s="42">
        <v>1.24</v>
      </c>
      <c r="AI75" s="42">
        <v>1.36</v>
      </c>
      <c r="AJ75" s="42">
        <v>1.52</v>
      </c>
      <c r="AK75" s="42">
        <v>1.71</v>
      </c>
      <c r="AL75" s="42">
        <v>1.93</v>
      </c>
      <c r="AM75" s="42">
        <v>2.17</v>
      </c>
      <c r="AN75" s="42">
        <v>2.45</v>
      </c>
      <c r="AO75" s="42">
        <v>2.75</v>
      </c>
      <c r="AP75" s="42">
        <v>3.09</v>
      </c>
      <c r="AQ75" s="42">
        <v>3.48</v>
      </c>
      <c r="AR75" s="42">
        <v>3.92</v>
      </c>
      <c r="AS75" s="42">
        <v>4.41</v>
      </c>
      <c r="AT75" s="42">
        <v>4.98</v>
      </c>
      <c r="AU75" s="42">
        <v>5.62</v>
      </c>
      <c r="AV75" s="42">
        <v>6.37</v>
      </c>
      <c r="AW75" s="42">
        <v>7.23</v>
      </c>
      <c r="AX75" s="42">
        <v>8.24</v>
      </c>
      <c r="AY75" s="42">
        <v>9.42</v>
      </c>
      <c r="AZ75" s="42">
        <v>10</v>
      </c>
      <c r="BA75" s="43">
        <v>10</v>
      </c>
    </row>
    <row r="76" spans="1:63" ht="15">
      <c r="A76" s="10" t="s">
        <v>26</v>
      </c>
      <c r="B76" s="4">
        <f t="shared" si="13"/>
        <v>2</v>
      </c>
      <c r="C76" s="160">
        <f t="shared" si="14"/>
        <v>20.43827796507721</v>
      </c>
      <c r="D76" s="160">
        <f t="shared" si="15"/>
        <v>20.43827796507721</v>
      </c>
      <c r="E76" s="160">
        <f t="shared" si="16"/>
        <v>17.555296690406365</v>
      </c>
      <c r="F76" s="138">
        <f t="shared" si="17"/>
        <v>0.035608022054712286</v>
      </c>
      <c r="G76" s="161">
        <f>IF(Q64="-","-",IF($E$10="Simpelt understøttet",ROUNDDOWN(1000*(AA51/((1.16*($E$4/2)*(MIN(8*G52/($E$4^2),2*I52/$E$4)+F76))/(2*200*10^-3)+($E$23/2))),0),IF($E$10="Mellemunderstøttet",ROUNDDOWN(1000*(AA51/((1.16*($E$4/2)*(MIN(8*G52/($E$4^2),2*I52/$E$4,(4/5)*J52/$E$4)+F76))/(2*200*10^-3)+($E$23/2))),0))))</f>
        <v>115</v>
      </c>
      <c r="H76" s="38">
        <f t="shared" si="18"/>
        <v>59.99939930715902</v>
      </c>
      <c r="I76" s="38">
        <f t="shared" si="19"/>
        <v>77.55469599756539</v>
      </c>
      <c r="J76" s="160">
        <f t="shared" si="20"/>
        <v>59.99939930715902</v>
      </c>
      <c r="K76" s="162">
        <f t="shared" si="21"/>
        <v>200.00200232951636</v>
      </c>
      <c r="U76" s="13"/>
      <c r="V76" s="15"/>
      <c r="W76" s="15"/>
      <c r="X76" s="15"/>
      <c r="Y76" s="15"/>
      <c r="Z76" s="15"/>
      <c r="AA76" s="15"/>
      <c r="AB76" s="15"/>
      <c r="AD76" s="108">
        <v>0.7</v>
      </c>
      <c r="AE76" s="197">
        <v>0</v>
      </c>
      <c r="AF76" s="15">
        <v>1.23</v>
      </c>
      <c r="AG76" s="15">
        <v>1.35</v>
      </c>
      <c r="AH76" s="15">
        <v>1.47</v>
      </c>
      <c r="AI76" s="15">
        <v>1.61</v>
      </c>
      <c r="AJ76" s="15">
        <v>1.81</v>
      </c>
      <c r="AK76" s="15">
        <v>2.03</v>
      </c>
      <c r="AL76" s="15">
        <v>2.28</v>
      </c>
      <c r="AM76" s="15">
        <v>2.55</v>
      </c>
      <c r="AN76" s="15">
        <v>2.86</v>
      </c>
      <c r="AO76" s="15">
        <v>3.2</v>
      </c>
      <c r="AP76" s="15">
        <v>3.59</v>
      </c>
      <c r="AQ76" s="15">
        <v>4.02</v>
      </c>
      <c r="AR76" s="15">
        <v>4.51</v>
      </c>
      <c r="AS76" s="15">
        <v>5.07</v>
      </c>
      <c r="AT76" s="15">
        <v>5.71</v>
      </c>
      <c r="AU76" s="15">
        <v>6.43</v>
      </c>
      <c r="AV76" s="15">
        <v>7.27</v>
      </c>
      <c r="AW76" s="15">
        <v>8.24</v>
      </c>
      <c r="AX76" s="15">
        <v>9.37</v>
      </c>
      <c r="AY76" s="15">
        <v>10</v>
      </c>
      <c r="AZ76" s="15">
        <v>10</v>
      </c>
      <c r="BA76" s="22">
        <v>10</v>
      </c>
      <c r="BB76" s="125"/>
      <c r="BC76" s="125"/>
      <c r="BD76" s="8"/>
      <c r="BE76" s="8"/>
      <c r="BF76" s="125"/>
      <c r="BG76" s="125"/>
      <c r="BH76" s="125"/>
      <c r="BI76" s="125"/>
      <c r="BJ76" s="125"/>
      <c r="BK76" s="125"/>
    </row>
    <row r="77" spans="1:63" ht="15">
      <c r="A77" s="10" t="s">
        <v>27</v>
      </c>
      <c r="B77" s="4">
        <f t="shared" si="13"/>
        <v>2</v>
      </c>
      <c r="C77" s="160">
        <f t="shared" si="14"/>
        <v>9.73550585069734</v>
      </c>
      <c r="D77" s="160">
        <f t="shared" si="15"/>
        <v>9.73550585069734</v>
      </c>
      <c r="E77" s="160">
        <f t="shared" si="16"/>
        <v>8.22169058467063</v>
      </c>
      <c r="F77" s="138">
        <f t="shared" si="17"/>
        <v>0.03670934739436277</v>
      </c>
      <c r="G77" s="161">
        <f>IF(Q65="-","-",IF($E$10="Simpelt understøttet",ROUNDDOWN(1000*(AA50/((1.16*($E$4/2)*(MIN(8*G53/($E$4^2),2*I53/$E$4)+F77))/(2*200*10^-3)+($E$23/2))),0),IF($E$10="Mellemunderstøttet",ROUNDDOWN(1000*(AA50/((1.16*($E$4/2)*(MIN(8*G53/($E$4^2),2*I53/$E$4,(4/5)*J53/$E$4)+F77))/(2*200*10^-3)+($E$23/2))),0))))</f>
        <v>110</v>
      </c>
      <c r="H77" s="38">
        <f t="shared" si="18"/>
        <v>59.99943553330454</v>
      </c>
      <c r="I77" s="38">
        <f t="shared" si="19"/>
        <v>68.22112611797517</v>
      </c>
      <c r="J77" s="160">
        <f t="shared" si="20"/>
        <v>59.99943553330454</v>
      </c>
      <c r="K77" s="162">
        <f t="shared" si="21"/>
        <v>200.00188157335296</v>
      </c>
      <c r="N77" s="125"/>
      <c r="U77" s="125"/>
      <c r="V77" s="125"/>
      <c r="W77" s="125"/>
      <c r="X77" s="125"/>
      <c r="Y77" s="125"/>
      <c r="Z77" s="125"/>
      <c r="AA77" s="125"/>
      <c r="AB77" s="125"/>
      <c r="AD77" s="34">
        <v>0.75</v>
      </c>
      <c r="AE77" s="194">
        <v>0</v>
      </c>
      <c r="AF77" s="25">
        <v>1.44</v>
      </c>
      <c r="AG77" s="25">
        <v>1.57</v>
      </c>
      <c r="AH77" s="25">
        <v>1.71</v>
      </c>
      <c r="AI77" s="25">
        <v>1.89</v>
      </c>
      <c r="AJ77" s="25">
        <v>2.12</v>
      </c>
      <c r="AK77" s="25">
        <v>2.36</v>
      </c>
      <c r="AL77" s="25">
        <v>2.64</v>
      </c>
      <c r="AM77" s="25">
        <v>2.94</v>
      </c>
      <c r="AN77" s="25">
        <v>3.29</v>
      </c>
      <c r="AO77" s="25">
        <v>3.67</v>
      </c>
      <c r="AP77" s="25">
        <v>4.1</v>
      </c>
      <c r="AQ77" s="25">
        <v>4.58</v>
      </c>
      <c r="AR77" s="25">
        <v>5.13</v>
      </c>
      <c r="AS77" s="25">
        <v>5.75</v>
      </c>
      <c r="AT77" s="25">
        <v>6.46</v>
      </c>
      <c r="AU77" s="25">
        <v>7.27</v>
      </c>
      <c r="AV77" s="25">
        <v>8.2</v>
      </c>
      <c r="AW77" s="25">
        <v>9.28</v>
      </c>
      <c r="AX77" s="25">
        <v>10</v>
      </c>
      <c r="AY77" s="25">
        <v>10</v>
      </c>
      <c r="AZ77" s="25">
        <v>10</v>
      </c>
      <c r="BA77" s="26">
        <v>10</v>
      </c>
      <c r="BB77" s="8"/>
      <c r="BC77" s="8"/>
      <c r="BD77" s="8"/>
      <c r="BE77" s="8"/>
      <c r="BF77" s="125"/>
      <c r="BG77" s="125"/>
      <c r="BH77" s="125"/>
      <c r="BI77" s="125"/>
      <c r="BJ77" s="125"/>
      <c r="BK77" s="125"/>
    </row>
    <row r="78" spans="1:57" ht="15">
      <c r="A78" s="10" t="s">
        <v>28</v>
      </c>
      <c r="B78" s="4">
        <f t="shared" si="13"/>
        <v>2</v>
      </c>
      <c r="C78" s="160">
        <f t="shared" si="14"/>
        <v>9.443423334474991</v>
      </c>
      <c r="D78" s="160">
        <f t="shared" si="15"/>
        <v>9.443423334474991</v>
      </c>
      <c r="E78" s="160">
        <f t="shared" si="16"/>
        <v>7.985664941753526</v>
      </c>
      <c r="F78" s="138">
        <f t="shared" si="17"/>
        <v>0.047168850286443194</v>
      </c>
      <c r="G78" s="161">
        <f>IF(Q66="-","-",IF($E$10="Simpelt understøttet",ROUNDDOWN(1000*(AA51/((1.16*($E$4/2)*(MIN(8*G54/($E$4^2),2*I54/$E$4)+F78))/(2*200*10^-3)+($E$23/2))),0),IF($E$10="Mellemunderstøttet",ROUNDDOWN(1000*(AA51/((1.16*($E$4/2)*(MIN(8*G54/($E$4^2),2*I54/$E$4,(4/5)*J54/$E$4)+F78))/(2*200*10^-3)+($E$23/2))),0))))</f>
        <v>75</v>
      </c>
      <c r="H78" s="38">
        <f t="shared" si="18"/>
        <v>59.999802314550784</v>
      </c>
      <c r="I78" s="38">
        <f t="shared" si="19"/>
        <v>67.98546725630432</v>
      </c>
      <c r="J78" s="160">
        <f t="shared" si="20"/>
        <v>59.999802314550784</v>
      </c>
      <c r="K78" s="162">
        <f t="shared" si="21"/>
        <v>200.00065895366848</v>
      </c>
      <c r="U78" s="8"/>
      <c r="V78" s="234"/>
      <c r="W78" s="234"/>
      <c r="X78" s="234"/>
      <c r="Y78" s="234"/>
      <c r="Z78" s="234"/>
      <c r="AA78" s="234"/>
      <c r="AB78" s="125"/>
      <c r="AD78" s="8"/>
      <c r="AE78" s="8"/>
      <c r="AF78" s="8"/>
      <c r="AG78" s="8"/>
      <c r="AH78" s="8"/>
      <c r="AI78" s="8"/>
      <c r="AJ78" s="8"/>
      <c r="AK78" s="8"/>
      <c r="AL78" s="8"/>
      <c r="AM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2"/>
    </row>
    <row r="79" spans="1:57" ht="15">
      <c r="A79" s="10" t="s">
        <v>29</v>
      </c>
      <c r="B79" s="4">
        <f t="shared" si="13"/>
        <v>1</v>
      </c>
      <c r="C79" s="160">
        <f t="shared" si="14"/>
        <v>7.449423760645293</v>
      </c>
      <c r="D79" s="160">
        <f t="shared" si="15"/>
        <v>7.449423760645293</v>
      </c>
      <c r="E79" s="160">
        <f t="shared" si="16"/>
        <v>6.25532982302296</v>
      </c>
      <c r="F79" s="138">
        <f t="shared" si="17"/>
        <v>0.04177471302219644</v>
      </c>
      <c r="G79" s="161">
        <f>IF(Q67="-","-",IF($E$10="Simpelt understøttet",ROUNDDOWN(1000*(AA50/((1.16*($E$4/2)*(MIN(8*G55/($E$4^2),2*I55/$E$4)+F79))/(2*200*10^-3)+($E$23/2))),0),IF($E$10="Mellemunderstøttet",ROUNDDOWN(1000*(AA50/((1.16*($E$4/2)*(MIN(8*G55/($E$4^2),2*I55/$E$4,(4/5)*J55/$E$4)+F79))/(2*200*10^-3)+($E$23/2))),0))))</f>
        <v>94</v>
      </c>
      <c r="H79" s="38">
        <f t="shared" si="18"/>
        <v>59.9996640029175</v>
      </c>
      <c r="I79" s="38">
        <f t="shared" si="19"/>
        <v>66.25499382594046</v>
      </c>
      <c r="J79" s="160">
        <f t="shared" si="20"/>
        <v>59.9996640029175</v>
      </c>
      <c r="K79" s="162">
        <f t="shared" si="21"/>
        <v>200.00111999654692</v>
      </c>
      <c r="U79" s="13"/>
      <c r="V79" s="13"/>
      <c r="W79" s="13"/>
      <c r="X79" s="13"/>
      <c r="Y79" s="13"/>
      <c r="Z79" s="13"/>
      <c r="AA79" s="13"/>
      <c r="AB79" s="125"/>
      <c r="AD79" s="27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2"/>
    </row>
    <row r="80" spans="1:57" ht="15">
      <c r="A80" s="11" t="s">
        <v>30</v>
      </c>
      <c r="B80" s="163">
        <f t="shared" si="13"/>
        <v>2</v>
      </c>
      <c r="C80" s="164">
        <f t="shared" si="14"/>
        <v>7.264812219810472</v>
      </c>
      <c r="D80" s="164">
        <f t="shared" si="15"/>
        <v>7.264812219810472</v>
      </c>
      <c r="E80" s="164">
        <f t="shared" si="16"/>
        <v>6.104173190583157</v>
      </c>
      <c r="F80" s="165">
        <f t="shared" si="17"/>
        <v>0.05425523206026012</v>
      </c>
      <c r="G80" s="166">
        <f>IF(Q68="-","-",IF($E$10="Simpelt understøttet",ROUNDDOWN(1000*(AA51/((1.16*($E$4/2)*(MIN(8*G56/($E$4^2),2*I56/$E$4)+F80))/(2*200*10^-3)+($E$23/2))),0),IF($E$10="Mellemunderstøttet",ROUNDDOWN(1000*(AA51/((1.16*($E$4/2)*(MIN(8*G56/($E$4^2),2*I56/$E$4,(4/5)*J56/$E$4)+F80))/(2*200*10^-3)+($E$23/2))),0))))</f>
        <v>63</v>
      </c>
      <c r="H80" s="86">
        <f t="shared" si="18"/>
        <v>56.88509021629461</v>
      </c>
      <c r="I80" s="86">
        <f t="shared" si="19"/>
        <v>62.98926340687777</v>
      </c>
      <c r="J80" s="164">
        <f t="shared" si="20"/>
        <v>56.88509021629461</v>
      </c>
      <c r="K80" s="167">
        <f t="shared" si="21"/>
        <v>210.95158598452264</v>
      </c>
      <c r="U80" s="12"/>
      <c r="V80" s="125"/>
      <c r="W80" s="125"/>
      <c r="X80" s="125"/>
      <c r="Y80" s="125"/>
      <c r="Z80" s="125"/>
      <c r="AA80" s="125"/>
      <c r="AB80" s="125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2"/>
    </row>
    <row r="81" spans="1:57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U81" s="13"/>
      <c r="V81" s="13"/>
      <c r="W81" s="13"/>
      <c r="X81" s="13"/>
      <c r="Y81" s="13"/>
      <c r="Z81" s="13"/>
      <c r="AA81" s="13"/>
      <c r="AB81" s="125"/>
      <c r="AD81" s="8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38"/>
      <c r="BB81" s="8"/>
      <c r="BC81" s="8"/>
      <c r="BD81" s="8"/>
      <c r="BE81" s="2"/>
    </row>
    <row r="82" spans="1:57" ht="15">
      <c r="A82" s="102"/>
      <c r="B82" s="125"/>
      <c r="C82" s="125"/>
      <c r="D82" s="125"/>
      <c r="E82" s="125"/>
      <c r="F82" s="125"/>
      <c r="U82" s="13"/>
      <c r="V82" s="13"/>
      <c r="W82" s="13"/>
      <c r="X82" s="13"/>
      <c r="Y82" s="13"/>
      <c r="Z82" s="13"/>
      <c r="AA82" s="13"/>
      <c r="AB82" s="125"/>
      <c r="AD82" s="8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38"/>
      <c r="BB82" s="8"/>
      <c r="BC82" s="8"/>
      <c r="BD82" s="8"/>
      <c r="BE82" s="2"/>
    </row>
    <row r="83" spans="1:57" ht="15">
      <c r="A83" s="125"/>
      <c r="B83" s="125"/>
      <c r="C83" s="125"/>
      <c r="D83" s="125"/>
      <c r="E83" s="125"/>
      <c r="F83" s="125"/>
      <c r="G83" s="2"/>
      <c r="H83" s="115"/>
      <c r="J83" s="2"/>
      <c r="K83" s="2"/>
      <c r="L83" s="2"/>
      <c r="M83" s="2"/>
      <c r="N83" s="2"/>
      <c r="O83" s="2"/>
      <c r="P83" s="2"/>
      <c r="Q83" s="2"/>
      <c r="R83" s="2"/>
      <c r="S83" s="2"/>
      <c r="U83" s="13"/>
      <c r="V83" s="13"/>
      <c r="W83" s="13"/>
      <c r="X83" s="13"/>
      <c r="Y83" s="13"/>
      <c r="Z83" s="13"/>
      <c r="AA83" s="13"/>
      <c r="AB83" s="125"/>
      <c r="AD83" s="8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  <c r="AV83" s="125"/>
      <c r="AW83" s="125"/>
      <c r="AX83" s="125"/>
      <c r="AY83" s="125"/>
      <c r="AZ83" s="125"/>
      <c r="BA83" s="125"/>
      <c r="BB83" s="8"/>
      <c r="BC83" s="8"/>
      <c r="BD83" s="8"/>
      <c r="BE83" s="2"/>
    </row>
    <row r="84" spans="1:57" ht="15">
      <c r="A84" s="8"/>
      <c r="B84" s="8"/>
      <c r="C84" s="13"/>
      <c r="D84" s="62"/>
      <c r="E84" s="125"/>
      <c r="F84" s="125"/>
      <c r="G84" s="2"/>
      <c r="H84" s="115"/>
      <c r="I84" s="115"/>
      <c r="J84" s="2"/>
      <c r="K84" s="181"/>
      <c r="L84" s="181"/>
      <c r="M84" s="181"/>
      <c r="N84" s="132"/>
      <c r="O84" s="181"/>
      <c r="P84" s="181"/>
      <c r="Q84" s="132"/>
      <c r="R84" s="181"/>
      <c r="S84" s="181"/>
      <c r="U84" s="125"/>
      <c r="V84" s="125"/>
      <c r="W84" s="125"/>
      <c r="X84" s="125"/>
      <c r="Y84" s="125"/>
      <c r="Z84" s="125"/>
      <c r="AA84" s="125"/>
      <c r="AB84" s="116"/>
      <c r="AD84" s="8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38"/>
      <c r="BB84" s="8"/>
      <c r="BC84" s="8"/>
      <c r="BD84" s="8"/>
      <c r="BE84" s="2"/>
    </row>
    <row r="85" spans="1:57" ht="15">
      <c r="A85" s="8"/>
      <c r="B85" s="8"/>
      <c r="C85" s="13"/>
      <c r="D85" s="210"/>
      <c r="E85" s="8"/>
      <c r="F85" s="125"/>
      <c r="I85" s="115"/>
      <c r="J85" s="2"/>
      <c r="K85" s="181"/>
      <c r="L85" s="181"/>
      <c r="M85" s="181"/>
      <c r="N85" s="132"/>
      <c r="O85" s="181"/>
      <c r="P85" s="181"/>
      <c r="Q85" s="132"/>
      <c r="R85" s="181"/>
      <c r="S85" s="181"/>
      <c r="U85" s="13"/>
      <c r="V85" s="234"/>
      <c r="W85" s="214"/>
      <c r="X85" s="214"/>
      <c r="Y85" s="214"/>
      <c r="Z85" s="214"/>
      <c r="AA85" s="214"/>
      <c r="AB85" s="125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8"/>
      <c r="BB85" s="8"/>
      <c r="BC85" s="2"/>
      <c r="BD85" s="2"/>
      <c r="BE85" s="2"/>
    </row>
    <row r="86" spans="1:57" ht="15">
      <c r="A86" s="8"/>
      <c r="B86" s="8"/>
      <c r="C86" s="13"/>
      <c r="D86" s="211"/>
      <c r="E86" s="52"/>
      <c r="F86" s="125"/>
      <c r="I86" s="115"/>
      <c r="J86" s="2"/>
      <c r="K86" s="181"/>
      <c r="L86" s="181"/>
      <c r="M86" s="181"/>
      <c r="N86" s="132"/>
      <c r="O86" s="181"/>
      <c r="P86" s="181"/>
      <c r="Q86" s="132"/>
      <c r="R86" s="181"/>
      <c r="S86" s="181"/>
      <c r="U86" s="12"/>
      <c r="V86" s="234"/>
      <c r="W86" s="214"/>
      <c r="X86" s="246"/>
      <c r="Y86" s="214"/>
      <c r="Z86" s="234"/>
      <c r="AA86" s="214"/>
      <c r="AB86" s="125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8"/>
      <c r="BB86" s="8"/>
      <c r="BC86" s="2"/>
      <c r="BD86" s="2"/>
      <c r="BE86" s="2"/>
    </row>
    <row r="87" spans="1:57" ht="15">
      <c r="A87" s="8"/>
      <c r="B87" s="8"/>
      <c r="C87" s="15"/>
      <c r="D87" s="211"/>
      <c r="E87" s="52"/>
      <c r="F87" s="125"/>
      <c r="H87" s="143"/>
      <c r="I87" s="115"/>
      <c r="J87" s="2"/>
      <c r="K87" s="181"/>
      <c r="L87" s="181"/>
      <c r="M87" s="181"/>
      <c r="N87" s="132"/>
      <c r="O87" s="181"/>
      <c r="P87" s="181"/>
      <c r="Q87" s="132"/>
      <c r="R87" s="181"/>
      <c r="S87" s="181"/>
      <c r="U87" s="13"/>
      <c r="V87" s="234"/>
      <c r="W87" s="214"/>
      <c r="X87" s="234"/>
      <c r="Y87" s="214"/>
      <c r="Z87" s="234"/>
      <c r="AA87" s="214"/>
      <c r="AB87" s="125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8"/>
      <c r="BB87" s="8"/>
      <c r="BC87" s="2"/>
      <c r="BD87" s="2"/>
      <c r="BE87" s="2"/>
    </row>
    <row r="88" spans="1:57" ht="15">
      <c r="A88" s="8"/>
      <c r="B88" s="8"/>
      <c r="C88" s="13"/>
      <c r="D88" s="211"/>
      <c r="E88" s="52"/>
      <c r="F88" s="125"/>
      <c r="H88" s="143"/>
      <c r="I88" s="115"/>
      <c r="J88" s="2"/>
      <c r="K88" s="181"/>
      <c r="L88" s="181"/>
      <c r="M88" s="181"/>
      <c r="N88" s="132"/>
      <c r="O88" s="181"/>
      <c r="P88" s="181"/>
      <c r="Q88" s="132"/>
      <c r="R88" s="181"/>
      <c r="S88" s="181"/>
      <c r="U88" s="161"/>
      <c r="V88" s="234"/>
      <c r="W88" s="214"/>
      <c r="X88" s="234"/>
      <c r="Y88" s="214"/>
      <c r="Z88" s="234"/>
      <c r="AA88" s="214"/>
      <c r="AB88" s="125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8"/>
      <c r="BB88" s="8"/>
      <c r="BC88" s="2"/>
      <c r="BD88" s="2"/>
      <c r="BE88" s="2"/>
    </row>
    <row r="89" spans="1:57" ht="15">
      <c r="A89" s="8"/>
      <c r="B89" s="8"/>
      <c r="C89" s="13"/>
      <c r="D89" s="13"/>
      <c r="E89" s="125"/>
      <c r="F89" s="125"/>
      <c r="I89" s="115"/>
      <c r="J89" s="200"/>
      <c r="K89" s="181"/>
      <c r="L89" s="181"/>
      <c r="M89" s="181"/>
      <c r="N89" s="132"/>
      <c r="O89" s="181"/>
      <c r="P89" s="181"/>
      <c r="Q89" s="132"/>
      <c r="R89" s="181"/>
      <c r="S89" s="181"/>
      <c r="U89" s="12"/>
      <c r="V89" s="234"/>
      <c r="W89" s="214"/>
      <c r="X89" s="234"/>
      <c r="Y89" s="214"/>
      <c r="Z89" s="234"/>
      <c r="AA89" s="214"/>
      <c r="AB89" s="125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8"/>
      <c r="BB89" s="8"/>
      <c r="BC89" s="2"/>
      <c r="BD89" s="2"/>
      <c r="BE89" s="2"/>
    </row>
    <row r="90" spans="1:57" ht="15">
      <c r="A90" s="79"/>
      <c r="B90" s="8"/>
      <c r="C90" s="38"/>
      <c r="D90" s="38"/>
      <c r="E90" s="125"/>
      <c r="F90" s="125"/>
      <c r="I90" s="115"/>
      <c r="J90" s="2"/>
      <c r="K90" s="2"/>
      <c r="L90" s="2"/>
      <c r="M90" s="2"/>
      <c r="N90" s="2"/>
      <c r="O90" s="2"/>
      <c r="P90" s="2"/>
      <c r="Q90" s="2"/>
      <c r="R90" s="2"/>
      <c r="S90" s="2"/>
      <c r="U90" s="125"/>
      <c r="V90" s="125"/>
      <c r="W90" s="125"/>
      <c r="X90" s="125"/>
      <c r="Y90" s="125"/>
      <c r="Z90" s="125"/>
      <c r="AA90" s="125"/>
      <c r="AB90" s="125"/>
      <c r="AD90" s="8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38"/>
      <c r="BB90" s="8"/>
      <c r="BC90" s="8"/>
      <c r="BD90" s="2"/>
      <c r="BE90" s="2"/>
    </row>
    <row r="91" spans="1:57" ht="15">
      <c r="A91" s="188"/>
      <c r="C91" s="13"/>
      <c r="D91" s="13"/>
      <c r="E91" s="125"/>
      <c r="U91" s="125"/>
      <c r="V91" s="125"/>
      <c r="W91" s="125"/>
      <c r="X91" s="125"/>
      <c r="Y91" s="125"/>
      <c r="Z91" s="125"/>
      <c r="AA91" s="125"/>
      <c r="AB91" s="125"/>
      <c r="AD91" s="8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38"/>
      <c r="BB91" s="8"/>
      <c r="BC91" s="8"/>
      <c r="BD91" s="2"/>
      <c r="BE91" s="2"/>
    </row>
    <row r="92" spans="1:57" ht="15">
      <c r="A92" s="13"/>
      <c r="C92" s="38"/>
      <c r="D92" s="13"/>
      <c r="E92" s="125"/>
      <c r="I92" s="115"/>
      <c r="AD92" s="8"/>
      <c r="BB92" s="8"/>
      <c r="BC92" s="2"/>
      <c r="BD92" s="2"/>
      <c r="BE92" s="2"/>
    </row>
    <row r="93" spans="1:60" ht="15">
      <c r="A93" s="28"/>
      <c r="B93" s="38"/>
      <c r="C93" s="15"/>
      <c r="I93" s="115"/>
      <c r="AD93" s="8"/>
      <c r="BB93" s="8"/>
      <c r="BC93" s="8"/>
      <c r="BD93" s="8"/>
      <c r="BE93" s="8"/>
      <c r="BF93" s="125"/>
      <c r="BG93" s="125"/>
      <c r="BH93" s="125"/>
    </row>
    <row r="94" spans="1:60" ht="15">
      <c r="A94" s="38"/>
      <c r="B94" s="38"/>
      <c r="C94" s="15"/>
      <c r="D94" s="38"/>
      <c r="E94" s="2"/>
      <c r="H94" s="2"/>
      <c r="I94" s="115"/>
      <c r="K94" s="2"/>
      <c r="L94" s="2"/>
      <c r="M94" s="2"/>
      <c r="N94" s="2"/>
      <c r="AD94" s="8"/>
      <c r="BB94" s="8"/>
      <c r="BC94" s="8"/>
      <c r="BD94" s="8"/>
      <c r="BE94" s="8"/>
      <c r="BF94" s="125"/>
      <c r="BG94" s="125"/>
      <c r="BH94" s="125"/>
    </row>
    <row r="95" spans="1:60" ht="15">
      <c r="A95" s="38"/>
      <c r="B95" s="38"/>
      <c r="D95" s="38"/>
      <c r="E95" s="132"/>
      <c r="G95" s="132"/>
      <c r="H95" s="132"/>
      <c r="I95" s="15"/>
      <c r="J95" s="2"/>
      <c r="M95" s="2"/>
      <c r="N95" s="2"/>
      <c r="AD95" s="27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125"/>
      <c r="BG95" s="125"/>
      <c r="BH95" s="125"/>
    </row>
    <row r="96" spans="1:60" ht="15">
      <c r="A96" s="38"/>
      <c r="B96" s="38"/>
      <c r="D96" s="38"/>
      <c r="E96" s="132"/>
      <c r="G96" s="38"/>
      <c r="H96" s="132"/>
      <c r="I96" s="15"/>
      <c r="J96" s="2"/>
      <c r="M96" s="2"/>
      <c r="N96" s="2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125"/>
      <c r="BG96" s="125"/>
      <c r="BH96" s="125"/>
    </row>
    <row r="97" spans="1:60" ht="15">
      <c r="A97" s="38"/>
      <c r="B97" s="38"/>
      <c r="D97" s="38"/>
      <c r="E97" s="182"/>
      <c r="G97" s="182"/>
      <c r="H97" s="38"/>
      <c r="I97" s="15"/>
      <c r="J97" s="2"/>
      <c r="M97" s="15"/>
      <c r="N97" s="15"/>
      <c r="AD97" s="8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38"/>
      <c r="BB97" s="8"/>
      <c r="BC97" s="8"/>
      <c r="BD97" s="8"/>
      <c r="BE97" s="8"/>
      <c r="BF97" s="125"/>
      <c r="BG97" s="125"/>
      <c r="BH97" s="125"/>
    </row>
    <row r="98" spans="1:60" ht="15">
      <c r="A98" s="38"/>
      <c r="B98" s="38"/>
      <c r="D98" s="38"/>
      <c r="E98" s="182"/>
      <c r="G98" s="182"/>
      <c r="H98" s="38"/>
      <c r="I98" s="15"/>
      <c r="J98" s="2"/>
      <c r="M98" s="15"/>
      <c r="N98" s="15"/>
      <c r="AD98" s="8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38"/>
      <c r="BB98" s="8"/>
      <c r="BC98" s="8"/>
      <c r="BD98" s="8"/>
      <c r="BE98" s="8"/>
      <c r="BF98" s="125"/>
      <c r="BG98" s="125"/>
      <c r="BH98" s="125"/>
    </row>
    <row r="99" spans="1:57" ht="15">
      <c r="A99" s="38"/>
      <c r="B99" s="38"/>
      <c r="D99" s="38"/>
      <c r="E99" s="182"/>
      <c r="G99" s="182"/>
      <c r="H99" s="38"/>
      <c r="I99" s="38"/>
      <c r="J99" s="2"/>
      <c r="M99" s="132"/>
      <c r="N99" s="132"/>
      <c r="BB99" s="8"/>
      <c r="BC99" s="2"/>
      <c r="BD99" s="2"/>
      <c r="BE99" s="2"/>
    </row>
    <row r="100" spans="1:57" ht="15">
      <c r="A100" s="38"/>
      <c r="B100" s="38"/>
      <c r="D100" s="38"/>
      <c r="E100" s="182"/>
      <c r="G100" s="182"/>
      <c r="H100" s="38"/>
      <c r="I100" s="38"/>
      <c r="J100" s="2"/>
      <c r="M100" s="132"/>
      <c r="N100" s="132"/>
      <c r="BB100" s="8"/>
      <c r="BC100" s="8"/>
      <c r="BD100" s="8"/>
      <c r="BE100" s="2"/>
    </row>
    <row r="101" spans="1:57" ht="15">
      <c r="A101" s="38"/>
      <c r="B101" s="38"/>
      <c r="D101" s="38"/>
      <c r="E101" s="182"/>
      <c r="G101" s="182"/>
      <c r="H101" s="38"/>
      <c r="I101" s="38"/>
      <c r="J101" s="2"/>
      <c r="M101" s="182"/>
      <c r="N101" s="182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2"/>
    </row>
    <row r="102" spans="1:57" ht="15">
      <c r="A102" s="38"/>
      <c r="B102" s="38"/>
      <c r="D102" s="38"/>
      <c r="E102" s="182"/>
      <c r="G102" s="182"/>
      <c r="H102" s="38"/>
      <c r="I102" s="38"/>
      <c r="J102" s="2"/>
      <c r="M102" s="182"/>
      <c r="N102" s="182"/>
      <c r="AD102" s="27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2"/>
    </row>
    <row r="103" spans="1:57" ht="15">
      <c r="A103" s="132"/>
      <c r="B103" s="132"/>
      <c r="C103" s="2"/>
      <c r="D103" s="2"/>
      <c r="E103" s="2"/>
      <c r="I103" s="38"/>
      <c r="J103" s="2"/>
      <c r="M103" s="182"/>
      <c r="N103" s="182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2"/>
    </row>
    <row r="104" spans="1:57" ht="15">
      <c r="A104" s="201"/>
      <c r="B104" s="132"/>
      <c r="C104" s="2"/>
      <c r="D104" s="2"/>
      <c r="E104" s="2"/>
      <c r="I104" s="38"/>
      <c r="J104" s="2"/>
      <c r="M104" s="182"/>
      <c r="N104" s="182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2"/>
    </row>
    <row r="105" spans="1:57" ht="15">
      <c r="A105" s="132"/>
      <c r="B105" s="132"/>
      <c r="C105" s="2"/>
      <c r="D105" s="2"/>
      <c r="E105" s="2"/>
      <c r="I105" s="38"/>
      <c r="J105" s="2"/>
      <c r="M105" s="182"/>
      <c r="N105" s="182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2"/>
    </row>
    <row r="106" spans="1:57" ht="15">
      <c r="A106" s="38"/>
      <c r="B106" s="38"/>
      <c r="D106" s="38"/>
      <c r="E106" s="132"/>
      <c r="G106" s="132"/>
      <c r="H106" s="132"/>
      <c r="I106" s="38"/>
      <c r="J106" s="2"/>
      <c r="M106" s="182"/>
      <c r="N106" s="182"/>
      <c r="AD106" s="8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38"/>
      <c r="BB106" s="8"/>
      <c r="BC106" s="8"/>
      <c r="BD106" s="8"/>
      <c r="BE106" s="2"/>
    </row>
    <row r="107" spans="1:57" ht="15">
      <c r="A107" s="38"/>
      <c r="B107" s="38"/>
      <c r="D107" s="38"/>
      <c r="E107" s="132"/>
      <c r="G107" s="38"/>
      <c r="H107" s="132"/>
      <c r="I107" s="2"/>
      <c r="J107" s="2"/>
      <c r="K107" s="2"/>
      <c r="L107" s="2"/>
      <c r="M107" s="2"/>
      <c r="N107" s="2"/>
      <c r="AD107" s="8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38"/>
      <c r="BB107" s="8"/>
      <c r="BC107" s="8"/>
      <c r="BD107" s="8"/>
      <c r="BE107" s="2"/>
    </row>
    <row r="108" spans="1:57" ht="15">
      <c r="A108" s="38"/>
      <c r="B108" s="38"/>
      <c r="D108" s="38"/>
      <c r="E108" s="182"/>
      <c r="G108" s="182"/>
      <c r="H108" s="182"/>
      <c r="I108" s="15"/>
      <c r="J108" s="2"/>
      <c r="M108" s="2"/>
      <c r="N108" s="2"/>
      <c r="BB108" s="8"/>
      <c r="BC108" s="2"/>
      <c r="BD108" s="2"/>
      <c r="BE108" s="2"/>
    </row>
    <row r="109" spans="1:57" ht="15">
      <c r="A109" s="38"/>
      <c r="B109" s="38"/>
      <c r="D109" s="38"/>
      <c r="E109" s="182"/>
      <c r="G109" s="182"/>
      <c r="H109" s="182"/>
      <c r="I109" s="15"/>
      <c r="J109" s="2"/>
      <c r="M109" s="2"/>
      <c r="N109" s="2"/>
      <c r="AD109" s="8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38"/>
      <c r="BB109" s="8"/>
      <c r="BC109" s="8"/>
      <c r="BD109" s="8"/>
      <c r="BE109" s="2"/>
    </row>
    <row r="110" spans="1:57" ht="15">
      <c r="A110" s="38"/>
      <c r="B110" s="38"/>
      <c r="D110" s="38"/>
      <c r="E110" s="182"/>
      <c r="G110" s="182"/>
      <c r="H110" s="182"/>
      <c r="I110" s="15"/>
      <c r="J110" s="2"/>
      <c r="M110" s="15"/>
      <c r="N110" s="15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2"/>
    </row>
    <row r="111" spans="1:57" ht="15">
      <c r="A111" s="38"/>
      <c r="B111" s="38"/>
      <c r="D111" s="38"/>
      <c r="E111" s="182"/>
      <c r="G111" s="182"/>
      <c r="H111" s="182"/>
      <c r="I111" s="15"/>
      <c r="J111" s="2"/>
      <c r="M111" s="15"/>
      <c r="N111" s="15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2"/>
    </row>
    <row r="112" spans="1:56" ht="15">
      <c r="A112" s="38"/>
      <c r="B112" s="38"/>
      <c r="D112" s="38"/>
      <c r="E112" s="182"/>
      <c r="G112" s="182"/>
      <c r="H112" s="182"/>
      <c r="I112" s="38"/>
      <c r="J112" s="2"/>
      <c r="M112" s="132"/>
      <c r="N112" s="132"/>
      <c r="AD112" s="125"/>
      <c r="AE112" s="125"/>
      <c r="AF112" s="125"/>
      <c r="AG112" s="125"/>
      <c r="AH112" s="125"/>
      <c r="AI112" s="125"/>
      <c r="AJ112" s="125"/>
      <c r="AK112" s="125"/>
      <c r="AL112" s="125"/>
      <c r="AM112" s="125"/>
      <c r="AN112" s="125"/>
      <c r="AO112" s="125"/>
      <c r="AP112" s="125"/>
      <c r="AQ112" s="125"/>
      <c r="AR112" s="125"/>
      <c r="AS112" s="125"/>
      <c r="AT112" s="125"/>
      <c r="AU112" s="125"/>
      <c r="AV112" s="125"/>
      <c r="AW112" s="125"/>
      <c r="AX112" s="125"/>
      <c r="AY112" s="125"/>
      <c r="AZ112" s="125"/>
      <c r="BA112" s="125"/>
      <c r="BB112" s="125"/>
      <c r="BC112" s="125"/>
      <c r="BD112" s="125"/>
    </row>
    <row r="113" spans="1:56" ht="15">
      <c r="A113" s="38"/>
      <c r="B113" s="38"/>
      <c r="D113" s="38"/>
      <c r="E113" s="182"/>
      <c r="G113" s="182"/>
      <c r="H113" s="182"/>
      <c r="I113" s="38"/>
      <c r="J113" s="2"/>
      <c r="M113" s="132"/>
      <c r="N113" s="132"/>
      <c r="AD113" s="125"/>
      <c r="AE113" s="125"/>
      <c r="AF113" s="125"/>
      <c r="AG113" s="125"/>
      <c r="AH113" s="125"/>
      <c r="AI113" s="125"/>
      <c r="AJ113" s="125"/>
      <c r="AK113" s="125"/>
      <c r="AL113" s="125"/>
      <c r="AM113" s="125"/>
      <c r="AN113" s="125"/>
      <c r="AO113" s="125"/>
      <c r="AP113" s="125"/>
      <c r="AQ113" s="125"/>
      <c r="AR113" s="125"/>
      <c r="AS113" s="125"/>
      <c r="AT113" s="125"/>
      <c r="AU113" s="125"/>
      <c r="AV113" s="125"/>
      <c r="AW113" s="125"/>
      <c r="AX113" s="125"/>
      <c r="AY113" s="125"/>
      <c r="AZ113" s="125"/>
      <c r="BA113" s="125"/>
      <c r="BB113" s="125"/>
      <c r="BC113" s="125"/>
      <c r="BD113" s="125"/>
    </row>
    <row r="114" spans="1:56" ht="15">
      <c r="A114" s="181"/>
      <c r="B114" s="181"/>
      <c r="C114" s="181"/>
      <c r="D114" s="181"/>
      <c r="E114" s="2"/>
      <c r="F114" s="2"/>
      <c r="H114" s="182"/>
      <c r="I114" s="38"/>
      <c r="J114" s="2"/>
      <c r="M114" s="182"/>
      <c r="N114" s="182"/>
      <c r="AD114" s="125"/>
      <c r="AE114" s="125"/>
      <c r="AF114" s="125"/>
      <c r="AG114" s="125"/>
      <c r="AH114" s="125"/>
      <c r="AI114" s="125"/>
      <c r="AJ114" s="125"/>
      <c r="AK114" s="125"/>
      <c r="AL114" s="125"/>
      <c r="AM114" s="125"/>
      <c r="AN114" s="125"/>
      <c r="AO114" s="125"/>
      <c r="AP114" s="125"/>
      <c r="AQ114" s="125"/>
      <c r="AR114" s="125"/>
      <c r="AS114" s="125"/>
      <c r="AT114" s="125"/>
      <c r="AU114" s="125"/>
      <c r="AV114" s="125"/>
      <c r="AW114" s="125"/>
      <c r="AX114" s="125"/>
      <c r="AY114" s="125"/>
      <c r="AZ114" s="125"/>
      <c r="BA114" s="125"/>
      <c r="BB114" s="125"/>
      <c r="BC114" s="125"/>
      <c r="BD114" s="125"/>
    </row>
    <row r="115" spans="1:56" ht="15">
      <c r="A115" s="181"/>
      <c r="B115" s="181"/>
      <c r="C115" s="38"/>
      <c r="D115" s="181"/>
      <c r="E115" s="2"/>
      <c r="F115" s="2"/>
      <c r="H115" s="182"/>
      <c r="I115" s="38"/>
      <c r="J115" s="2"/>
      <c r="M115" s="182"/>
      <c r="N115" s="182"/>
      <c r="AD115" s="125"/>
      <c r="AE115" s="125"/>
      <c r="AF115" s="125"/>
      <c r="AG115" s="125"/>
      <c r="AH115" s="125"/>
      <c r="AI115" s="125"/>
      <c r="AJ115" s="125"/>
      <c r="AK115" s="125"/>
      <c r="AL115" s="125"/>
      <c r="AM115" s="125"/>
      <c r="AN115" s="125"/>
      <c r="AO115" s="125"/>
      <c r="AP115" s="125"/>
      <c r="AQ115" s="125"/>
      <c r="AR115" s="125"/>
      <c r="AS115" s="125"/>
      <c r="AT115" s="125"/>
      <c r="AU115" s="125"/>
      <c r="AV115" s="125"/>
      <c r="AW115" s="125"/>
      <c r="AX115" s="125"/>
      <c r="AY115" s="125"/>
      <c r="AZ115" s="125"/>
      <c r="BA115" s="125"/>
      <c r="BB115" s="125"/>
      <c r="BC115" s="125"/>
      <c r="BD115" s="125"/>
    </row>
    <row r="116" spans="1:14" ht="15">
      <c r="A116" s="181"/>
      <c r="B116" s="181"/>
      <c r="C116" s="38"/>
      <c r="D116" s="181"/>
      <c r="E116" s="2"/>
      <c r="F116" s="2"/>
      <c r="G116" s="2"/>
      <c r="H116" s="2"/>
      <c r="I116" s="38"/>
      <c r="J116" s="2"/>
      <c r="M116" s="182"/>
      <c r="N116" s="182"/>
    </row>
    <row r="117" spans="1:14" ht="15">
      <c r="A117" s="182"/>
      <c r="B117" s="182"/>
      <c r="C117" s="181"/>
      <c r="D117" s="181"/>
      <c r="E117" s="2"/>
      <c r="F117" s="2"/>
      <c r="G117" s="2"/>
      <c r="H117" s="2"/>
      <c r="I117" s="38"/>
      <c r="J117" s="2"/>
      <c r="M117" s="182"/>
      <c r="N117" s="182"/>
    </row>
    <row r="118" spans="1:14" ht="15">
      <c r="A118" s="182"/>
      <c r="B118" s="182"/>
      <c r="C118" s="181"/>
      <c r="D118" s="181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>
      <c r="A119" s="182"/>
      <c r="B119" s="182"/>
      <c r="C119" s="182"/>
      <c r="D119" s="18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>
      <c r="A120" s="182"/>
      <c r="B120" s="182"/>
      <c r="C120" s="182"/>
      <c r="D120" s="182"/>
      <c r="E120" s="70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>
      <c r="A121" s="182"/>
      <c r="B121" s="182"/>
      <c r="C121" s="182"/>
      <c r="D121" s="18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>
      <c r="A122" s="182"/>
      <c r="B122" s="182"/>
      <c r="C122" s="182"/>
      <c r="D122" s="18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7:14" ht="15">
      <c r="G123" s="2"/>
      <c r="H123" s="2"/>
      <c r="I123" s="2"/>
      <c r="J123" s="2"/>
      <c r="K123" s="2"/>
      <c r="L123" s="2"/>
      <c r="M123" s="2"/>
      <c r="N123" s="2"/>
    </row>
    <row r="124" spans="1:11" ht="15">
      <c r="A124" s="182"/>
      <c r="B124" s="182"/>
      <c r="C124" s="182"/>
      <c r="D124" s="182"/>
      <c r="E124" s="2"/>
      <c r="F124" s="2"/>
      <c r="G124" s="2"/>
      <c r="H124" s="2"/>
      <c r="I124" s="2"/>
      <c r="J124" s="2"/>
      <c r="K124" s="2"/>
    </row>
    <row r="125" spans="1:11" ht="15">
      <c r="A125" s="188"/>
      <c r="C125" s="13"/>
      <c r="D125" s="13"/>
      <c r="E125" s="125"/>
      <c r="I125" s="115"/>
      <c r="J125" s="2"/>
      <c r="K125" s="2"/>
    </row>
    <row r="126" spans="1:11" ht="15">
      <c r="A126" s="13"/>
      <c r="C126" s="38"/>
      <c r="D126" s="13"/>
      <c r="E126" s="125"/>
      <c r="I126" s="115"/>
      <c r="J126" s="2"/>
      <c r="K126" s="2"/>
    </row>
    <row r="127" spans="1:11" ht="15">
      <c r="A127" s="202"/>
      <c r="C127" s="38"/>
      <c r="D127" s="13"/>
      <c r="E127" s="125"/>
      <c r="I127" s="115"/>
      <c r="J127" s="2"/>
      <c r="K127" s="2"/>
    </row>
    <row r="128" spans="2:15" ht="15">
      <c r="B128" s="38"/>
      <c r="O128" s="2"/>
    </row>
    <row r="129" spans="1:15" ht="15">
      <c r="A129" s="38"/>
      <c r="B129" s="38"/>
      <c r="D129" s="38"/>
      <c r="E129" s="132"/>
      <c r="G129" s="132"/>
      <c r="H129" s="132"/>
      <c r="O129" s="2"/>
    </row>
    <row r="130" spans="1:15" ht="15">
      <c r="A130" s="38"/>
      <c r="B130" s="38"/>
      <c r="D130" s="38"/>
      <c r="E130" s="132"/>
      <c r="G130" s="38"/>
      <c r="H130" s="132"/>
      <c r="O130" s="2"/>
    </row>
    <row r="131" spans="1:15" ht="15">
      <c r="A131" s="38"/>
      <c r="B131" s="38"/>
      <c r="D131" s="38"/>
      <c r="E131" s="182"/>
      <c r="G131" s="182"/>
      <c r="H131" s="182"/>
      <c r="O131" s="2"/>
    </row>
    <row r="132" spans="1:15" ht="15">
      <c r="A132" s="38"/>
      <c r="B132" s="38"/>
      <c r="D132" s="38"/>
      <c r="E132" s="182"/>
      <c r="G132" s="182"/>
      <c r="H132" s="182"/>
      <c r="O132" s="2"/>
    </row>
    <row r="133" spans="1:15" ht="15">
      <c r="A133" s="38"/>
      <c r="B133" s="38"/>
      <c r="D133" s="38"/>
      <c r="E133" s="182"/>
      <c r="G133" s="182"/>
      <c r="H133" s="182"/>
      <c r="O133" s="2"/>
    </row>
    <row r="134" spans="1:15" ht="15">
      <c r="A134" s="38"/>
      <c r="B134" s="38"/>
      <c r="D134" s="38"/>
      <c r="E134" s="182"/>
      <c r="G134" s="182"/>
      <c r="H134" s="182"/>
      <c r="O134" s="2"/>
    </row>
    <row r="135" spans="1:15" ht="15">
      <c r="A135" s="38"/>
      <c r="B135" s="38"/>
      <c r="D135" s="38"/>
      <c r="E135" s="182"/>
      <c r="G135" s="182"/>
      <c r="H135" s="182"/>
      <c r="O135" s="2"/>
    </row>
    <row r="136" spans="1:15" ht="15">
      <c r="A136" s="38"/>
      <c r="B136" s="38"/>
      <c r="D136" s="38"/>
      <c r="E136" s="182"/>
      <c r="F136" s="2"/>
      <c r="G136" s="182"/>
      <c r="H136" s="182"/>
      <c r="O136" s="2"/>
    </row>
    <row r="137" spans="1:15" ht="15">
      <c r="A137" s="132"/>
      <c r="B137" s="132"/>
      <c r="C137" s="2"/>
      <c r="I137" s="2"/>
      <c r="J137" s="2"/>
      <c r="K137" s="2"/>
      <c r="L137" s="2"/>
      <c r="M137" s="2"/>
      <c r="N137" s="2"/>
      <c r="O137" s="2"/>
    </row>
    <row r="138" spans="1:15" ht="15">
      <c r="A138" s="201"/>
      <c r="B138" s="132"/>
      <c r="C138" s="2"/>
      <c r="I138" s="2"/>
      <c r="J138" s="2"/>
      <c r="K138" s="2"/>
      <c r="L138" s="2"/>
      <c r="M138" s="2"/>
      <c r="N138" s="2"/>
      <c r="O138" s="2"/>
    </row>
    <row r="139" spans="1:15" ht="15">
      <c r="A139" s="132"/>
      <c r="B139" s="132"/>
      <c r="C139" s="2"/>
      <c r="I139" s="2"/>
      <c r="J139" s="2"/>
      <c r="K139" s="2"/>
      <c r="L139" s="2"/>
      <c r="M139" s="2"/>
      <c r="N139" s="2"/>
      <c r="O139" s="2"/>
    </row>
    <row r="140" spans="1:15" ht="15">
      <c r="A140" s="38"/>
      <c r="B140" s="38"/>
      <c r="D140" s="38"/>
      <c r="E140" s="132"/>
      <c r="G140" s="132"/>
      <c r="H140" s="132"/>
      <c r="J140" s="2"/>
      <c r="M140" s="15"/>
      <c r="N140" s="15"/>
      <c r="O140" s="2"/>
    </row>
    <row r="141" spans="1:15" ht="15">
      <c r="A141" s="38"/>
      <c r="B141" s="38"/>
      <c r="D141" s="38"/>
      <c r="E141" s="132"/>
      <c r="G141" s="38"/>
      <c r="H141" s="132"/>
      <c r="J141" s="2"/>
      <c r="M141" s="15"/>
      <c r="N141" s="15"/>
      <c r="O141" s="2"/>
    </row>
    <row r="142" spans="1:15" ht="15">
      <c r="A142" s="182"/>
      <c r="B142" s="182"/>
      <c r="D142" s="182"/>
      <c r="E142" s="182"/>
      <c r="G142" s="182"/>
      <c r="H142" s="182"/>
      <c r="J142" s="2"/>
      <c r="M142" s="132"/>
      <c r="N142" s="132"/>
      <c r="O142" s="2"/>
    </row>
    <row r="143" spans="1:15" ht="15">
      <c r="A143" s="182"/>
      <c r="B143" s="182"/>
      <c r="D143" s="182"/>
      <c r="E143" s="182"/>
      <c r="G143" s="182"/>
      <c r="H143" s="182"/>
      <c r="J143" s="2"/>
      <c r="M143" s="132"/>
      <c r="N143" s="138"/>
      <c r="O143" s="2"/>
    </row>
    <row r="144" spans="1:15" ht="15">
      <c r="A144" s="182"/>
      <c r="B144" s="182"/>
      <c r="D144" s="182"/>
      <c r="E144" s="182"/>
      <c r="G144" s="182"/>
      <c r="H144" s="182"/>
      <c r="J144" s="2"/>
      <c r="M144" s="182"/>
      <c r="N144" s="182"/>
      <c r="O144" s="2"/>
    </row>
    <row r="145" spans="1:15" ht="15">
      <c r="A145" s="182"/>
      <c r="B145" s="182"/>
      <c r="D145" s="182"/>
      <c r="E145" s="182"/>
      <c r="G145" s="182"/>
      <c r="H145" s="182"/>
      <c r="J145" s="2"/>
      <c r="M145" s="182"/>
      <c r="N145" s="182"/>
      <c r="O145" s="2"/>
    </row>
    <row r="146" spans="1:15" ht="15">
      <c r="A146" s="182"/>
      <c r="B146" s="182"/>
      <c r="D146" s="182"/>
      <c r="E146" s="182"/>
      <c r="G146" s="182"/>
      <c r="H146" s="182"/>
      <c r="J146" s="2"/>
      <c r="M146" s="182"/>
      <c r="N146" s="182"/>
      <c r="O146" s="2"/>
    </row>
    <row r="147" spans="1:15" ht="15">
      <c r="A147" s="182"/>
      <c r="B147" s="182"/>
      <c r="D147" s="182"/>
      <c r="E147" s="182"/>
      <c r="G147" s="182"/>
      <c r="H147" s="182"/>
      <c r="J147" s="2"/>
      <c r="M147" s="182"/>
      <c r="N147" s="182"/>
      <c r="O147" s="2"/>
    </row>
    <row r="148" spans="10:15" ht="15">
      <c r="J148" s="2"/>
      <c r="K148" s="2"/>
      <c r="L148" s="2"/>
      <c r="M148" s="2"/>
      <c r="N148" s="2"/>
      <c r="O148" s="2"/>
    </row>
    <row r="149" spans="1:15" ht="15">
      <c r="A149" s="201"/>
      <c r="B149" s="132"/>
      <c r="C149" s="2"/>
      <c r="D149" s="2"/>
      <c r="E149" s="2"/>
      <c r="J149" s="2"/>
      <c r="K149" s="2"/>
      <c r="L149" s="2"/>
      <c r="M149" s="2"/>
      <c r="N149" s="2"/>
      <c r="O149" s="2"/>
    </row>
    <row r="150" spans="1:15" ht="15">
      <c r="A150" s="132"/>
      <c r="B150" s="132"/>
      <c r="C150" s="2"/>
      <c r="D150" s="2"/>
      <c r="E150" s="2"/>
      <c r="J150" s="2"/>
      <c r="M150" s="2"/>
      <c r="N150" s="2"/>
      <c r="O150" s="2"/>
    </row>
    <row r="151" spans="1:15" ht="15">
      <c r="A151" s="38"/>
      <c r="B151" s="38"/>
      <c r="D151" s="38"/>
      <c r="E151" s="132"/>
      <c r="G151" s="132"/>
      <c r="H151" s="132"/>
      <c r="I151" s="15"/>
      <c r="J151" s="2"/>
      <c r="M151" s="2"/>
      <c r="N151" s="2"/>
      <c r="O151" s="2"/>
    </row>
    <row r="152" spans="1:15" ht="15">
      <c r="A152" s="38"/>
      <c r="B152" s="38"/>
      <c r="D152" s="38"/>
      <c r="E152" s="132"/>
      <c r="G152" s="38"/>
      <c r="H152" s="132"/>
      <c r="I152" s="15"/>
      <c r="J152" s="2"/>
      <c r="M152" s="15"/>
      <c r="N152" s="15"/>
      <c r="O152" s="2"/>
    </row>
    <row r="153" spans="1:15" ht="15">
      <c r="A153" s="38"/>
      <c r="B153" s="38"/>
      <c r="C153" s="38"/>
      <c r="D153" s="38"/>
      <c r="E153" s="38"/>
      <c r="G153" s="182"/>
      <c r="H153" s="182"/>
      <c r="I153" s="38"/>
      <c r="J153" s="2"/>
      <c r="M153" s="15"/>
      <c r="N153" s="15"/>
      <c r="O153" s="2"/>
    </row>
    <row r="154" spans="1:15" ht="15">
      <c r="A154" s="38"/>
      <c r="B154" s="38"/>
      <c r="C154" s="38"/>
      <c r="D154" s="38"/>
      <c r="E154" s="38"/>
      <c r="G154" s="182"/>
      <c r="H154" s="182"/>
      <c r="I154" s="38"/>
      <c r="J154" s="2"/>
      <c r="M154" s="132"/>
      <c r="N154" s="132"/>
      <c r="O154" s="2"/>
    </row>
    <row r="155" spans="1:15" ht="15">
      <c r="A155" s="38"/>
      <c r="B155" s="38"/>
      <c r="C155" s="38"/>
      <c r="D155" s="38"/>
      <c r="E155" s="38"/>
      <c r="G155" s="182"/>
      <c r="H155" s="182"/>
      <c r="I155" s="38"/>
      <c r="J155" s="2"/>
      <c r="M155" s="132"/>
      <c r="N155" s="138"/>
      <c r="O155" s="2"/>
    </row>
    <row r="156" spans="1:15" ht="15">
      <c r="A156" s="38"/>
      <c r="B156" s="38"/>
      <c r="C156" s="38"/>
      <c r="D156" s="38"/>
      <c r="E156" s="38"/>
      <c r="G156" s="182"/>
      <c r="H156" s="182"/>
      <c r="I156" s="38"/>
      <c r="M156" s="38"/>
      <c r="N156" s="38"/>
      <c r="O156" s="2"/>
    </row>
    <row r="157" spans="1:15" ht="15">
      <c r="A157" s="38"/>
      <c r="B157" s="38"/>
      <c r="C157" s="38"/>
      <c r="D157" s="38"/>
      <c r="E157" s="38"/>
      <c r="G157" s="182"/>
      <c r="H157" s="182"/>
      <c r="I157" s="38"/>
      <c r="M157" s="38"/>
      <c r="N157" s="38"/>
      <c r="O157" s="2"/>
    </row>
    <row r="158" spans="1:15" ht="15">
      <c r="A158" s="38"/>
      <c r="B158" s="38"/>
      <c r="C158" s="38"/>
      <c r="D158" s="38"/>
      <c r="E158" s="38"/>
      <c r="G158" s="182"/>
      <c r="H158" s="182"/>
      <c r="I158" s="38"/>
      <c r="M158" s="38"/>
      <c r="N158" s="38"/>
      <c r="O158" s="2"/>
    </row>
    <row r="159" spans="13:15" ht="15">
      <c r="M159" s="38"/>
      <c r="N159" s="38"/>
      <c r="O159" s="2"/>
    </row>
    <row r="160" spans="1:15" ht="15">
      <c r="A160" s="201"/>
      <c r="B160" s="132"/>
      <c r="C160" s="2"/>
      <c r="D160" s="2"/>
      <c r="E160" s="2"/>
      <c r="M160" s="38"/>
      <c r="N160" s="38"/>
      <c r="O160" s="2"/>
    </row>
    <row r="161" spans="1:15" ht="15">
      <c r="A161" s="132"/>
      <c r="B161" s="132"/>
      <c r="C161" s="2"/>
      <c r="D161" s="2"/>
      <c r="E161" s="2"/>
      <c r="M161" s="38"/>
      <c r="N161" s="38"/>
      <c r="O161" s="2"/>
    </row>
    <row r="162" spans="1:15" ht="15">
      <c r="A162" s="38"/>
      <c r="B162" s="38"/>
      <c r="D162" s="38"/>
      <c r="E162" s="132"/>
      <c r="G162" s="132"/>
      <c r="H162" s="132"/>
      <c r="K162" s="2"/>
      <c r="L162" s="2"/>
      <c r="M162" s="2"/>
      <c r="N162" s="2"/>
      <c r="O162" s="2"/>
    </row>
    <row r="163" spans="1:15" ht="15">
      <c r="A163" s="38"/>
      <c r="B163" s="38"/>
      <c r="D163" s="38"/>
      <c r="E163" s="132"/>
      <c r="G163" s="38"/>
      <c r="H163" s="132"/>
      <c r="I163" s="2"/>
      <c r="K163" s="2"/>
      <c r="L163" s="2"/>
      <c r="M163" s="2"/>
      <c r="N163" s="2"/>
      <c r="O163" s="2"/>
    </row>
    <row r="164" spans="1:15" ht="15">
      <c r="A164" s="38"/>
      <c r="B164" s="38"/>
      <c r="C164" s="38"/>
      <c r="D164" s="38"/>
      <c r="E164" s="38"/>
      <c r="G164" s="38"/>
      <c r="H164" s="38"/>
      <c r="I164" s="2"/>
      <c r="K164" s="2"/>
      <c r="L164" s="2"/>
      <c r="M164" s="2"/>
      <c r="N164" s="2"/>
      <c r="O164" s="2"/>
    </row>
    <row r="165" spans="1:15" ht="15">
      <c r="A165" s="38"/>
      <c r="B165" s="38"/>
      <c r="C165" s="38"/>
      <c r="D165" s="38"/>
      <c r="E165" s="38"/>
      <c r="G165" s="38"/>
      <c r="H165" s="38"/>
      <c r="I165" s="2"/>
      <c r="K165" s="2"/>
      <c r="L165" s="2"/>
      <c r="M165" s="2"/>
      <c r="N165" s="2"/>
      <c r="O165" s="2"/>
    </row>
    <row r="166" spans="1:15" ht="15">
      <c r="A166" s="38"/>
      <c r="B166" s="38"/>
      <c r="C166" s="38"/>
      <c r="D166" s="38"/>
      <c r="E166" s="38"/>
      <c r="G166" s="38"/>
      <c r="H166" s="38"/>
      <c r="I166" s="15"/>
      <c r="K166" s="2"/>
      <c r="L166" s="2"/>
      <c r="M166" s="2"/>
      <c r="N166" s="2"/>
      <c r="O166" s="2"/>
    </row>
    <row r="167" spans="1:15" ht="15">
      <c r="A167" s="38"/>
      <c r="B167" s="38"/>
      <c r="C167" s="38"/>
      <c r="D167" s="38"/>
      <c r="E167" s="38"/>
      <c r="G167" s="38"/>
      <c r="H167" s="38"/>
      <c r="I167" s="15"/>
      <c r="K167" s="2"/>
      <c r="L167" s="2"/>
      <c r="M167" s="2"/>
      <c r="N167" s="2"/>
      <c r="O167" s="2"/>
    </row>
    <row r="168" spans="1:15" ht="15">
      <c r="A168" s="38"/>
      <c r="B168" s="38"/>
      <c r="C168" s="38"/>
      <c r="D168" s="38"/>
      <c r="E168" s="38"/>
      <c r="G168" s="38"/>
      <c r="H168" s="38"/>
      <c r="I168" s="38"/>
      <c r="K168" s="2"/>
      <c r="L168" s="2"/>
      <c r="M168" s="2"/>
      <c r="N168" s="2"/>
      <c r="O168" s="2"/>
    </row>
    <row r="169" spans="1:15" ht="15">
      <c r="A169" s="38"/>
      <c r="B169" s="38"/>
      <c r="C169" s="38"/>
      <c r="D169" s="38"/>
      <c r="E169" s="38"/>
      <c r="G169" s="38"/>
      <c r="H169" s="38"/>
      <c r="I169" s="38"/>
      <c r="K169" s="2"/>
      <c r="L169" s="2"/>
      <c r="M169" s="2"/>
      <c r="N169" s="2"/>
      <c r="O169" s="2"/>
    </row>
    <row r="170" spans="9:15" ht="15">
      <c r="I170" s="38"/>
      <c r="K170" s="2"/>
      <c r="L170" s="2"/>
      <c r="M170" s="2"/>
      <c r="N170" s="2"/>
      <c r="O170" s="2"/>
    </row>
    <row r="171" spans="1:15" ht="15">
      <c r="A171" s="190"/>
      <c r="B171" s="181"/>
      <c r="I171" s="38"/>
      <c r="K171" s="2"/>
      <c r="L171" s="2"/>
      <c r="M171" s="2"/>
      <c r="N171" s="2"/>
      <c r="O171" s="2"/>
    </row>
    <row r="172" spans="1:15" ht="15">
      <c r="A172" s="181"/>
      <c r="B172" s="181"/>
      <c r="I172" s="38"/>
      <c r="K172" s="2"/>
      <c r="L172" s="2"/>
      <c r="M172" s="2"/>
      <c r="N172" s="2"/>
      <c r="O172" s="2"/>
    </row>
    <row r="173" spans="1:15" ht="15">
      <c r="A173" s="182"/>
      <c r="B173" s="182"/>
      <c r="I173" s="38"/>
      <c r="K173" s="2"/>
      <c r="L173" s="2"/>
      <c r="M173" s="2"/>
      <c r="N173" s="2"/>
      <c r="O173" s="2"/>
    </row>
    <row r="174" spans="1:15" ht="15">
      <c r="A174" s="182"/>
      <c r="B174" s="182"/>
      <c r="K174" s="2"/>
      <c r="L174" s="2"/>
      <c r="M174" s="2"/>
      <c r="N174" s="2"/>
      <c r="O174" s="2"/>
    </row>
    <row r="175" spans="1:15" ht="15">
      <c r="A175" s="182"/>
      <c r="B175" s="182"/>
      <c r="C175" s="181"/>
      <c r="D175" s="181"/>
      <c r="K175" s="2"/>
      <c r="L175" s="2"/>
      <c r="M175" s="2"/>
      <c r="N175" s="2"/>
      <c r="O175" s="2"/>
    </row>
    <row r="176" spans="1:15" ht="15">
      <c r="A176" s="182"/>
      <c r="B176" s="182"/>
      <c r="C176" s="181"/>
      <c r="D176" s="181"/>
      <c r="K176" s="2"/>
      <c r="L176" s="2"/>
      <c r="M176" s="2"/>
      <c r="N176" s="2"/>
      <c r="O176" s="2"/>
    </row>
    <row r="177" spans="1:15" ht="15">
      <c r="A177" s="182"/>
      <c r="B177" s="182"/>
      <c r="C177" s="181"/>
      <c r="D177" s="181"/>
      <c r="K177" s="2"/>
      <c r="L177" s="2"/>
      <c r="M177" s="2"/>
      <c r="N177" s="2"/>
      <c r="O177" s="2"/>
    </row>
    <row r="178" spans="1:15" ht="15">
      <c r="A178" s="182"/>
      <c r="B178" s="182"/>
      <c r="C178" s="181"/>
      <c r="D178" s="181"/>
      <c r="K178" s="2"/>
      <c r="L178" s="2"/>
      <c r="M178" s="2"/>
      <c r="N178" s="2"/>
      <c r="O178" s="2"/>
    </row>
    <row r="179" spans="2:15" ht="15">
      <c r="B179" s="182"/>
      <c r="C179" s="182"/>
      <c r="D179" s="182"/>
      <c r="K179" s="2"/>
      <c r="L179" s="2"/>
      <c r="M179" s="2"/>
      <c r="N179" s="2"/>
      <c r="O179" s="2"/>
    </row>
    <row r="180" spans="2:15" ht="15">
      <c r="B180" s="182"/>
      <c r="C180" s="182"/>
      <c r="D180" s="182"/>
      <c r="K180" s="2"/>
      <c r="L180" s="2"/>
      <c r="M180" s="2"/>
      <c r="N180" s="2"/>
      <c r="O180" s="2"/>
    </row>
    <row r="181" spans="11:15" ht="15">
      <c r="K181" s="2"/>
      <c r="L181" s="2"/>
      <c r="M181" s="2"/>
      <c r="N181" s="2"/>
      <c r="O181" s="2"/>
    </row>
    <row r="182" spans="11:15" ht="15">
      <c r="K182" s="2"/>
      <c r="L182" s="2"/>
      <c r="M182" s="2"/>
      <c r="N182" s="2"/>
      <c r="O182" s="2"/>
    </row>
    <row r="183" spans="11:15" ht="15">
      <c r="K183" s="2"/>
      <c r="L183" s="2"/>
      <c r="M183" s="2"/>
      <c r="N183" s="2"/>
      <c r="O183" s="2"/>
    </row>
    <row r="184" spans="11:15" ht="15">
      <c r="K184" s="2"/>
      <c r="L184" s="2"/>
      <c r="M184" s="2"/>
      <c r="N184" s="2"/>
      <c r="O184" s="2"/>
    </row>
    <row r="185" spans="11:15" ht="15">
      <c r="K185" s="2"/>
      <c r="L185" s="2"/>
      <c r="M185" s="2"/>
      <c r="N185" s="2"/>
      <c r="O185" s="2"/>
    </row>
    <row r="186" spans="11:15" ht="15">
      <c r="K186" s="2"/>
      <c r="L186" s="2"/>
      <c r="M186" s="2"/>
      <c r="N186" s="2"/>
      <c r="O186" s="2"/>
    </row>
    <row r="187" spans="11:15" ht="15">
      <c r="K187" s="2"/>
      <c r="L187" s="2"/>
      <c r="M187" s="2"/>
      <c r="N187" s="2"/>
      <c r="O187" s="2"/>
    </row>
    <row r="188" spans="11:15" ht="15">
      <c r="K188" s="2"/>
      <c r="L188" s="2"/>
      <c r="M188" s="2"/>
      <c r="N188" s="2"/>
      <c r="O188" s="2"/>
    </row>
    <row r="189" spans="11:15" ht="15">
      <c r="K189" s="2"/>
      <c r="L189" s="2"/>
      <c r="M189" s="2"/>
      <c r="N189" s="2"/>
      <c r="O189" s="2"/>
    </row>
    <row r="190" spans="11:15" ht="15">
      <c r="K190" s="2"/>
      <c r="L190" s="2"/>
      <c r="M190" s="2"/>
      <c r="N190" s="2"/>
      <c r="O190" s="2"/>
    </row>
    <row r="191" spans="11:15" ht="15">
      <c r="K191" s="2"/>
      <c r="L191" s="2"/>
      <c r="M191" s="2"/>
      <c r="N191" s="2"/>
      <c r="O191" s="2"/>
    </row>
    <row r="192" spans="11:15" ht="15">
      <c r="K192" s="2"/>
      <c r="L192" s="2"/>
      <c r="M192" s="2"/>
      <c r="N192" s="2"/>
      <c r="O192" s="2"/>
    </row>
    <row r="193" spans="11:15" ht="15">
      <c r="K193" s="2"/>
      <c r="L193" s="2"/>
      <c r="M193" s="2"/>
      <c r="N193" s="2"/>
      <c r="O193" s="2"/>
    </row>
    <row r="194" spans="11:15" ht="15">
      <c r="K194" s="2"/>
      <c r="L194" s="2"/>
      <c r="M194" s="2"/>
      <c r="N194" s="2"/>
      <c r="O194" s="2"/>
    </row>
    <row r="195" spans="11:15" ht="15">
      <c r="K195" s="2"/>
      <c r="L195" s="2"/>
      <c r="M195" s="2"/>
      <c r="N195" s="2"/>
      <c r="O195" s="2"/>
    </row>
    <row r="196" spans="11:15" ht="15">
      <c r="K196" s="2"/>
      <c r="L196" s="2"/>
      <c r="M196" s="2"/>
      <c r="N196" s="2"/>
      <c r="O196" s="2"/>
    </row>
    <row r="197" spans="11:15" ht="15">
      <c r="K197" s="2"/>
      <c r="L197" s="2"/>
      <c r="M197" s="2"/>
      <c r="N197" s="2"/>
      <c r="O197" s="2"/>
    </row>
    <row r="198" spans="11:15" ht="15">
      <c r="K198" s="2"/>
      <c r="L198" s="2"/>
      <c r="M198" s="2"/>
      <c r="N198" s="2"/>
      <c r="O198" s="2"/>
    </row>
    <row r="199" spans="11:15" ht="15">
      <c r="K199" s="2"/>
      <c r="L199" s="2"/>
      <c r="M199" s="2"/>
      <c r="N199" s="2"/>
      <c r="O199" s="2"/>
    </row>
    <row r="200" spans="11:15" ht="15">
      <c r="K200" s="2"/>
      <c r="L200" s="2"/>
      <c r="M200" s="2"/>
      <c r="N200" s="2"/>
      <c r="O200" s="2"/>
    </row>
    <row r="201" spans="11:15" ht="15">
      <c r="K201" s="2"/>
      <c r="L201" s="2"/>
      <c r="M201" s="2"/>
      <c r="N201" s="2"/>
      <c r="O201" s="2"/>
    </row>
    <row r="202" spans="11:15" ht="15">
      <c r="K202" s="2"/>
      <c r="L202" s="2"/>
      <c r="M202" s="2"/>
      <c r="N202" s="2"/>
      <c r="O202" s="2"/>
    </row>
    <row r="203" spans="11:15" ht="15">
      <c r="K203" s="2"/>
      <c r="L203" s="2"/>
      <c r="M203" s="2"/>
      <c r="N203" s="2"/>
      <c r="O203" s="2"/>
    </row>
    <row r="204" spans="11:15" ht="15">
      <c r="K204" s="2"/>
      <c r="L204" s="2"/>
      <c r="M204" s="2"/>
      <c r="N204" s="2"/>
      <c r="O204" s="2"/>
    </row>
    <row r="205" spans="11:15" ht="15">
      <c r="K205" s="2"/>
      <c r="L205" s="2"/>
      <c r="M205" s="2"/>
      <c r="N205" s="2"/>
      <c r="O205" s="2"/>
    </row>
    <row r="206" spans="11:15" ht="15">
      <c r="K206" s="2"/>
      <c r="L206" s="2"/>
      <c r="M206" s="2"/>
      <c r="N206" s="2"/>
      <c r="O206" s="2"/>
    </row>
    <row r="207" spans="11:15" ht="15">
      <c r="K207" s="2"/>
      <c r="L207" s="2"/>
      <c r="M207" s="2"/>
      <c r="N207" s="2"/>
      <c r="O207" s="2"/>
    </row>
    <row r="208" spans="11:15" ht="15">
      <c r="K208" s="2"/>
      <c r="L208" s="2"/>
      <c r="M208" s="2"/>
      <c r="N208" s="2"/>
      <c r="O208" s="2"/>
    </row>
    <row r="209" spans="11:15" ht="15">
      <c r="K209" s="2"/>
      <c r="L209" s="2"/>
      <c r="M209" s="2"/>
      <c r="N209" s="2"/>
      <c r="O209" s="2"/>
    </row>
    <row r="210" spans="11:15" ht="15">
      <c r="K210" s="2"/>
      <c r="L210" s="2"/>
      <c r="M210" s="2"/>
      <c r="N210" s="2"/>
      <c r="O210" s="2"/>
    </row>
    <row r="211" spans="11:15" ht="15">
      <c r="K211" s="2"/>
      <c r="L211" s="2"/>
      <c r="M211" s="2"/>
      <c r="N211" s="2"/>
      <c r="O211" s="2"/>
    </row>
    <row r="212" spans="11:15" ht="15">
      <c r="K212" s="2"/>
      <c r="L212" s="2"/>
      <c r="M212" s="2"/>
      <c r="N212" s="2"/>
      <c r="O212" s="2"/>
    </row>
    <row r="213" spans="11:15" ht="15">
      <c r="K213" s="2"/>
      <c r="L213" s="2"/>
      <c r="M213" s="2"/>
      <c r="N213" s="2"/>
      <c r="O213" s="2"/>
    </row>
    <row r="214" spans="11:15" ht="15">
      <c r="K214" s="2"/>
      <c r="L214" s="2"/>
      <c r="M214" s="2"/>
      <c r="N214" s="2"/>
      <c r="O214" s="2"/>
    </row>
    <row r="215" spans="11:15" ht="15">
      <c r="K215" s="2"/>
      <c r="L215" s="2"/>
      <c r="M215" s="2"/>
      <c r="N215" s="2"/>
      <c r="O215" s="2"/>
    </row>
    <row r="216" spans="11:15" ht="15">
      <c r="K216" s="2"/>
      <c r="L216" s="2"/>
      <c r="M216" s="2"/>
      <c r="N216" s="2"/>
      <c r="O216" s="2"/>
    </row>
    <row r="217" spans="11:15" ht="15">
      <c r="K217" s="2"/>
      <c r="L217" s="2"/>
      <c r="M217" s="2"/>
      <c r="N217" s="2"/>
      <c r="O217" s="2"/>
    </row>
    <row r="218" spans="11:15" ht="15">
      <c r="K218" s="2"/>
      <c r="L218" s="2"/>
      <c r="M218" s="2"/>
      <c r="N218" s="2"/>
      <c r="O218" s="2"/>
    </row>
    <row r="219" spans="11:15" ht="15">
      <c r="K219" s="2"/>
      <c r="L219" s="2"/>
      <c r="M219" s="2"/>
      <c r="N219" s="2"/>
      <c r="O219" s="2"/>
    </row>
    <row r="220" spans="11:15" ht="15">
      <c r="K220" s="2"/>
      <c r="L220" s="2"/>
      <c r="M220" s="2"/>
      <c r="N220" s="2"/>
      <c r="O220" s="2"/>
    </row>
    <row r="221" spans="11:15" ht="15">
      <c r="K221" s="2"/>
      <c r="L221" s="2"/>
      <c r="M221" s="2"/>
      <c r="N221" s="2"/>
      <c r="O221" s="2"/>
    </row>
    <row r="222" spans="11:15" ht="15">
      <c r="K222" s="2"/>
      <c r="L222" s="2"/>
      <c r="M222" s="2"/>
      <c r="N222" s="2"/>
      <c r="O222" s="2"/>
    </row>
    <row r="223" spans="11:15" ht="15">
      <c r="K223" s="2"/>
      <c r="L223" s="2"/>
      <c r="M223" s="2"/>
      <c r="N223" s="2"/>
      <c r="O223" s="2"/>
    </row>
    <row r="224" spans="11:15" ht="15">
      <c r="K224" s="2"/>
      <c r="L224" s="2"/>
      <c r="M224" s="2"/>
      <c r="N224" s="2"/>
      <c r="O224" s="2"/>
    </row>
    <row r="225" spans="11:15" ht="15">
      <c r="K225" s="2"/>
      <c r="L225" s="2"/>
      <c r="M225" s="2"/>
      <c r="N225" s="2"/>
      <c r="O225" s="2"/>
    </row>
    <row r="226" spans="11:15" ht="15">
      <c r="K226" s="2"/>
      <c r="L226" s="2"/>
      <c r="M226" s="2"/>
      <c r="N226" s="2"/>
      <c r="O226" s="2"/>
    </row>
    <row r="227" spans="11:15" ht="15">
      <c r="K227" s="2"/>
      <c r="L227" s="2"/>
      <c r="M227" s="2"/>
      <c r="N227" s="2"/>
      <c r="O227" s="2"/>
    </row>
    <row r="228" spans="11:15" ht="15">
      <c r="K228" s="2"/>
      <c r="L228" s="2"/>
      <c r="M228" s="2"/>
      <c r="N228" s="2"/>
      <c r="O228" s="2"/>
    </row>
    <row r="229" spans="11:15" ht="15">
      <c r="K229" s="2"/>
      <c r="L229" s="2"/>
      <c r="M229" s="2"/>
      <c r="N229" s="2"/>
      <c r="O229" s="2"/>
    </row>
    <row r="230" spans="11:15" ht="15">
      <c r="K230" s="2"/>
      <c r="L230" s="2"/>
      <c r="M230" s="2"/>
      <c r="N230" s="2"/>
      <c r="O230" s="2"/>
    </row>
    <row r="231" spans="11:15" ht="15">
      <c r="K231" s="2"/>
      <c r="L231" s="2"/>
      <c r="M231" s="2"/>
      <c r="N231" s="2"/>
      <c r="O231" s="2"/>
    </row>
    <row r="232" spans="11:15" ht="15">
      <c r="K232" s="2"/>
      <c r="L232" s="2"/>
      <c r="M232" s="2"/>
      <c r="N232" s="2"/>
      <c r="O232" s="2"/>
    </row>
    <row r="233" spans="11:15" ht="15">
      <c r="K233" s="2"/>
      <c r="L233" s="2"/>
      <c r="M233" s="2"/>
      <c r="N233" s="2"/>
      <c r="O233" s="2"/>
    </row>
    <row r="234" spans="11:15" ht="15">
      <c r="K234" s="2"/>
      <c r="L234" s="2"/>
      <c r="M234" s="2"/>
      <c r="N234" s="2"/>
      <c r="O234" s="2"/>
    </row>
    <row r="235" spans="11:15" ht="15">
      <c r="K235" s="2"/>
      <c r="L235" s="2"/>
      <c r="M235" s="2"/>
      <c r="N235" s="2"/>
      <c r="O235" s="2"/>
    </row>
    <row r="236" spans="11:15" ht="15">
      <c r="K236" s="2"/>
      <c r="L236" s="2"/>
      <c r="M236" s="2"/>
      <c r="N236" s="2"/>
      <c r="O236" s="2"/>
    </row>
    <row r="237" spans="11:15" ht="15">
      <c r="K237" s="2"/>
      <c r="L237" s="2"/>
      <c r="M237" s="2"/>
      <c r="N237" s="2"/>
      <c r="O237" s="2"/>
    </row>
    <row r="238" spans="11:15" ht="15">
      <c r="K238" s="2"/>
      <c r="L238" s="2"/>
      <c r="M238" s="2"/>
      <c r="N238" s="2"/>
      <c r="O238" s="2"/>
    </row>
    <row r="239" spans="11:15" ht="15">
      <c r="K239" s="2"/>
      <c r="L239" s="2"/>
      <c r="M239" s="2"/>
      <c r="N239" s="2"/>
      <c r="O239" s="2"/>
    </row>
    <row r="240" spans="11:15" ht="15">
      <c r="K240" s="2"/>
      <c r="L240" s="2"/>
      <c r="M240" s="2"/>
      <c r="N240" s="2"/>
      <c r="O240" s="2"/>
    </row>
    <row r="241" spans="11:15" ht="15">
      <c r="K241" s="2"/>
      <c r="L241" s="2"/>
      <c r="M241" s="2"/>
      <c r="N241" s="2"/>
      <c r="O241" s="2"/>
    </row>
    <row r="242" spans="11:15" ht="15">
      <c r="K242" s="2"/>
      <c r="L242" s="2"/>
      <c r="M242" s="2"/>
      <c r="N242" s="2"/>
      <c r="O242" s="2"/>
    </row>
    <row r="243" spans="11:15" ht="15">
      <c r="K243" s="2"/>
      <c r="L243" s="2"/>
      <c r="M243" s="2"/>
      <c r="N243" s="2"/>
      <c r="O243" s="2"/>
    </row>
    <row r="244" spans="11:15" ht="15">
      <c r="K244" s="2"/>
      <c r="L244" s="2"/>
      <c r="M244" s="2"/>
      <c r="N244" s="2"/>
      <c r="O244" s="2"/>
    </row>
    <row r="245" spans="11:15" ht="15">
      <c r="K245" s="2"/>
      <c r="L245" s="2"/>
      <c r="M245" s="2"/>
      <c r="N245" s="2"/>
      <c r="O245" s="2"/>
    </row>
    <row r="246" spans="11:15" ht="15">
      <c r="K246" s="2"/>
      <c r="L246" s="2"/>
      <c r="M246" s="2"/>
      <c r="N246" s="2"/>
      <c r="O246" s="2"/>
    </row>
    <row r="247" spans="11:15" ht="15">
      <c r="K247" s="2"/>
      <c r="L247" s="2"/>
      <c r="M247" s="2"/>
      <c r="N247" s="2"/>
      <c r="O247" s="2"/>
    </row>
    <row r="248" spans="11:15" ht="15">
      <c r="K248" s="2"/>
      <c r="L248" s="2"/>
      <c r="M248" s="2"/>
      <c r="N248" s="2"/>
      <c r="O248" s="2"/>
    </row>
    <row r="249" spans="11:15" ht="15">
      <c r="K249" s="2"/>
      <c r="L249" s="2"/>
      <c r="M249" s="2"/>
      <c r="N249" s="2"/>
      <c r="O249" s="2"/>
    </row>
    <row r="250" spans="11:15" ht="15">
      <c r="K250" s="2"/>
      <c r="L250" s="2"/>
      <c r="M250" s="2"/>
      <c r="N250" s="2"/>
      <c r="O250" s="2"/>
    </row>
    <row r="251" spans="11:15" ht="15">
      <c r="K251" s="2"/>
      <c r="L251" s="2"/>
      <c r="M251" s="2"/>
      <c r="N251" s="2"/>
      <c r="O251" s="2"/>
    </row>
    <row r="252" spans="11:15" ht="15">
      <c r="K252" s="2"/>
      <c r="L252" s="2"/>
      <c r="M252" s="2"/>
      <c r="N252" s="2"/>
      <c r="O252" s="2"/>
    </row>
    <row r="253" spans="11:15" ht="15">
      <c r="K253" s="2"/>
      <c r="L253" s="2"/>
      <c r="M253" s="2"/>
      <c r="N253" s="2"/>
      <c r="O253" s="2"/>
    </row>
    <row r="254" spans="11:15" ht="15">
      <c r="K254" s="2"/>
      <c r="L254" s="2"/>
      <c r="M254" s="2"/>
      <c r="N254" s="2"/>
      <c r="O254" s="2"/>
    </row>
    <row r="255" spans="11:15" ht="15">
      <c r="K255" s="2"/>
      <c r="L255" s="2"/>
      <c r="M255" s="2"/>
      <c r="N255" s="2"/>
      <c r="O255" s="2"/>
    </row>
    <row r="256" spans="11:15" ht="15">
      <c r="K256" s="2"/>
      <c r="L256" s="2"/>
      <c r="M256" s="2"/>
      <c r="N256" s="2"/>
      <c r="O256" s="2"/>
    </row>
    <row r="257" spans="11:15" ht="15">
      <c r="K257" s="2"/>
      <c r="L257" s="2"/>
      <c r="M257" s="2"/>
      <c r="N257" s="2"/>
      <c r="O257" s="2"/>
    </row>
    <row r="258" spans="11:15" ht="15">
      <c r="K258" s="2"/>
      <c r="L258" s="2"/>
      <c r="M258" s="2"/>
      <c r="N258" s="2"/>
      <c r="O258" s="2"/>
    </row>
    <row r="259" spans="11:15" ht="15">
      <c r="K259" s="2"/>
      <c r="L259" s="2"/>
      <c r="M259" s="2"/>
      <c r="N259" s="2"/>
      <c r="O259" s="2"/>
    </row>
    <row r="260" spans="11:15" ht="15">
      <c r="K260" s="2"/>
      <c r="L260" s="2"/>
      <c r="M260" s="2"/>
      <c r="N260" s="2"/>
      <c r="O260" s="2"/>
    </row>
    <row r="261" spans="11:15" ht="15">
      <c r="K261" s="2"/>
      <c r="L261" s="2"/>
      <c r="M261" s="2"/>
      <c r="N261" s="2"/>
      <c r="O261" s="2"/>
    </row>
    <row r="262" spans="11:15" ht="15">
      <c r="K262" s="2"/>
      <c r="L262" s="2"/>
      <c r="M262" s="2"/>
      <c r="N262" s="2"/>
      <c r="O262" s="2"/>
    </row>
    <row r="263" spans="11:15" ht="15">
      <c r="K263" s="2"/>
      <c r="L263" s="2"/>
      <c r="M263" s="2"/>
      <c r="N263" s="2"/>
      <c r="O263" s="2"/>
    </row>
    <row r="264" spans="11:15" ht="15">
      <c r="K264" s="2"/>
      <c r="L264" s="2"/>
      <c r="M264" s="2"/>
      <c r="N264" s="2"/>
      <c r="O264" s="2"/>
    </row>
    <row r="265" spans="11:15" ht="15">
      <c r="K265" s="2"/>
      <c r="L265" s="2"/>
      <c r="M265" s="2"/>
      <c r="N265" s="2"/>
      <c r="O265" s="2"/>
    </row>
    <row r="266" spans="11:15" ht="15">
      <c r="K266" s="2"/>
      <c r="L266" s="2"/>
      <c r="M266" s="2"/>
      <c r="N266" s="2"/>
      <c r="O266" s="2"/>
    </row>
    <row r="267" spans="11:15" ht="15">
      <c r="K267" s="2"/>
      <c r="L267" s="2"/>
      <c r="M267" s="2"/>
      <c r="N267" s="2"/>
      <c r="O267" s="2"/>
    </row>
    <row r="268" spans="11:15" ht="15">
      <c r="K268" s="2"/>
      <c r="L268" s="2"/>
      <c r="M268" s="2"/>
      <c r="N268" s="2"/>
      <c r="O268" s="2"/>
    </row>
    <row r="269" spans="11:15" ht="15">
      <c r="K269" s="2"/>
      <c r="L269" s="2"/>
      <c r="M269" s="2"/>
      <c r="N269" s="2"/>
      <c r="O269" s="2"/>
    </row>
  </sheetData>
  <sheetProtection/>
  <mergeCells count="31">
    <mergeCell ref="D61:E61"/>
    <mergeCell ref="F61:G61"/>
    <mergeCell ref="H61:I61"/>
    <mergeCell ref="M60:O60"/>
    <mergeCell ref="K61:L61"/>
    <mergeCell ref="D60:L60"/>
    <mergeCell ref="V89:W89"/>
    <mergeCell ref="V85:AA85"/>
    <mergeCell ref="X86:Y86"/>
    <mergeCell ref="X87:Y87"/>
    <mergeCell ref="X88:Y88"/>
    <mergeCell ref="X89:Y89"/>
    <mergeCell ref="Z86:AA86"/>
    <mergeCell ref="Z87:AA87"/>
    <mergeCell ref="Z88:AA88"/>
    <mergeCell ref="Z89:AA89"/>
    <mergeCell ref="I47:L47"/>
    <mergeCell ref="I48:J48"/>
    <mergeCell ref="K48:L48"/>
    <mergeCell ref="V86:W86"/>
    <mergeCell ref="V87:W87"/>
    <mergeCell ref="V88:W88"/>
    <mergeCell ref="W69:X69"/>
    <mergeCell ref="Y69:Z69"/>
    <mergeCell ref="AA69:AB69"/>
    <mergeCell ref="V78:W78"/>
    <mergeCell ref="X78:Y78"/>
    <mergeCell ref="Z78:AA78"/>
    <mergeCell ref="Z62:AA62"/>
    <mergeCell ref="V62:W62"/>
    <mergeCell ref="X62:Y62"/>
  </mergeCells>
  <conditionalFormatting sqref="B164:B169 E164:E169 H153:I158 B153:B158 E153:E158 I168:I173 D114:D117 D175:D177 B97:B102 N144:N147 N156:N161 H114:H115 N101:N106 B108:B114 I99:I106 I112:I117 N114:N117">
    <cfRule type="cellIs" priority="1" dxfId="0" operator="greaterThan" stopIfTrue="1">
      <formula>100</formula>
    </cfRule>
  </conditionalFormatting>
  <conditionalFormatting sqref="D179:D180 B179:B180 D119:D122 D124 B124">
    <cfRule type="cellIs" priority="2" dxfId="0" operator="lessThan" stopIfTrue="1">
      <formula>200</formula>
    </cfRule>
  </conditionalFormatting>
  <conditionalFormatting sqref="V87:AA89">
    <cfRule type="cellIs" priority="3" dxfId="0" operator="notEqual" stopIfTrue="1">
      <formula>"Spændvidde trapezplade OK"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Grontmij | Carlbro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Vestergaard</dc:creator>
  <cp:keywords/>
  <dc:description/>
  <cp:lastModifiedBy>fhm.skandek.dk</cp:lastModifiedBy>
  <cp:lastPrinted>2009-06-04T11:33:41Z</cp:lastPrinted>
  <dcterms:created xsi:type="dcterms:W3CDTF">2008-04-24T12:10:15Z</dcterms:created>
  <dcterms:modified xsi:type="dcterms:W3CDTF">2010-04-08T11:46:34Z</dcterms:modified>
  <cp:category/>
  <cp:version/>
  <cp:contentType/>
  <cp:contentStatus/>
</cp:coreProperties>
</file>